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AUDITOR\PROPTAX\Uncollected Taxes\"/>
    </mc:Choice>
  </mc:AlternateContent>
  <xr:revisionPtr revIDLastSave="0" documentId="13_ncr:1_{66CEA205-D090-4C3E-80A8-A2CCA92D7E7D}" xr6:coauthVersionLast="47" xr6:coauthVersionMax="47" xr10:uidLastSave="{00000000-0000-0000-0000-000000000000}"/>
  <bookViews>
    <workbookView xWindow="-28920" yWindow="-120" windowWidth="29040" windowHeight="17640" firstSheet="16" activeTab="31" xr2:uid="{00000000-000D-0000-FFFF-FFFF00000000}"/>
  </bookViews>
  <sheets>
    <sheet name="1992" sheetId="1" r:id="rId1"/>
    <sheet name="1993" sheetId="2" r:id="rId2"/>
    <sheet name="1994" sheetId="3" r:id="rId3"/>
    <sheet name="1995" sheetId="4" r:id="rId4"/>
    <sheet name="1996" sheetId="5" r:id="rId5"/>
    <sheet name="1997" sheetId="6" r:id="rId6"/>
    <sheet name="1998" sheetId="7" r:id="rId7"/>
    <sheet name="1999" sheetId="8" r:id="rId8"/>
    <sheet name="2000" sheetId="9" r:id="rId9"/>
    <sheet name="2001" sheetId="11" r:id="rId10"/>
    <sheet name="2002" sheetId="12" r:id="rId11"/>
    <sheet name="2003" sheetId="13" r:id="rId12"/>
    <sheet name="2004" sheetId="14" r:id="rId13"/>
    <sheet name="2005" sheetId="15" r:id="rId14"/>
    <sheet name="2006" sheetId="16" r:id="rId15"/>
    <sheet name="2007 " sheetId="17" r:id="rId16"/>
    <sheet name="2008" sheetId="18" r:id="rId17"/>
    <sheet name="2009" sheetId="10" r:id="rId18"/>
    <sheet name="2010" sheetId="20" r:id="rId19"/>
    <sheet name="2011 " sheetId="22" r:id="rId20"/>
    <sheet name="2012 " sheetId="23" r:id="rId21"/>
    <sheet name="2013 " sheetId="24" r:id="rId22"/>
    <sheet name="2014" sheetId="25" r:id="rId23"/>
    <sheet name="2015" sheetId="26" r:id="rId24"/>
    <sheet name="2016 " sheetId="27" r:id="rId25"/>
    <sheet name="2017" sheetId="19" r:id="rId26"/>
    <sheet name="2018" sheetId="28" r:id="rId27"/>
    <sheet name="2019" sheetId="29" r:id="rId28"/>
    <sheet name="2020" sheetId="30" r:id="rId29"/>
    <sheet name="2021" sheetId="31" r:id="rId30"/>
    <sheet name="2022" sheetId="32" r:id="rId31"/>
    <sheet name="2023" sheetId="33" r:id="rId32"/>
  </sheets>
  <definedNames>
    <definedName name="\D">'1997'!$L$1:$L$1</definedName>
    <definedName name="_xlnm.Print_Area" localSheetId="7">'1999'!$A$8:$K$308</definedName>
    <definedName name="_xlnm.Print_Titles" localSheetId="6">'1998'!$4:$7</definedName>
    <definedName name="_xlnm.Print_Titles" localSheetId="8">'2000'!$4:$8</definedName>
    <definedName name="_xlnm.Print_Titles" localSheetId="9">'2001'!$4:$8</definedName>
    <definedName name="_xlnm.Print_Titles" localSheetId="10">'2002'!$4:$8</definedName>
    <definedName name="_xlnm.Print_Titles" localSheetId="11">'2003'!$4:$8</definedName>
    <definedName name="_xlnm.Print_Titles" localSheetId="12">'2004'!$4:$8</definedName>
    <definedName name="_xlnm.Print_Titles" localSheetId="13">'2005'!$4:$8</definedName>
    <definedName name="_xlnm.Print_Titles" localSheetId="14">'2006'!$4:$8</definedName>
    <definedName name="_xlnm.Print_Titles" localSheetId="15">'2007 '!$4:$8</definedName>
    <definedName name="_xlnm.Print_Titles" localSheetId="16">'2008'!$4:$8</definedName>
    <definedName name="_xlnm.Print_Titles" localSheetId="17">'2009'!$4:$8</definedName>
    <definedName name="_xlnm.Print_Titles" localSheetId="18">'2010'!$4:$8</definedName>
    <definedName name="_xlnm.Print_Titles" localSheetId="19">'2011 '!$4:$8</definedName>
    <definedName name="_xlnm.Print_Titles" localSheetId="20">'2012 '!$4:$8</definedName>
    <definedName name="_xlnm.Print_Titles" localSheetId="21">'2013 '!$4:$8</definedName>
    <definedName name="_xlnm.Print_Titles" localSheetId="22">'2014'!$4:$8</definedName>
    <definedName name="_xlnm.Print_Titles" localSheetId="23">'2015'!$4:$8</definedName>
    <definedName name="_xlnm.Print_Titles" localSheetId="24">'2016 '!$4:$8</definedName>
    <definedName name="_xlnm.Print_Titles" localSheetId="25">'2017'!$4:$8</definedName>
    <definedName name="_xlnm.Print_Titles" localSheetId="26">'2018'!$4:$8</definedName>
    <definedName name="_xlnm.Print_Titles" localSheetId="27">'2019'!$4:$9</definedName>
    <definedName name="_xlnm.Print_Titles" localSheetId="28">'2020'!$4:$9</definedName>
    <definedName name="_xlnm.Print_Titles" localSheetId="29">'2021'!$4:$9</definedName>
    <definedName name="_xlnm.Print_Titles" localSheetId="30">'2022'!$4:$9</definedName>
    <definedName name="_xlnm.Print_Titles" localSheetId="31">'2023'!$4:$9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9" i="33" l="1"/>
  <c r="L223" i="33"/>
  <c r="L217" i="33"/>
  <c r="L203" i="33"/>
  <c r="L197" i="33"/>
  <c r="L190" i="33"/>
  <c r="L184" i="33"/>
  <c r="L179" i="33"/>
  <c r="L174" i="33"/>
  <c r="L169" i="33"/>
  <c r="L164" i="33"/>
  <c r="L158" i="33"/>
  <c r="L153" i="33"/>
  <c r="L145" i="33"/>
  <c r="L139" i="33"/>
  <c r="L132" i="33"/>
  <c r="L123" i="33"/>
  <c r="L115" i="33"/>
  <c r="L110" i="33"/>
  <c r="L103" i="33"/>
  <c r="L97" i="33"/>
  <c r="L89" i="33"/>
  <c r="L83" i="33"/>
  <c r="L75" i="33"/>
  <c r="L69" i="33"/>
  <c r="L63" i="33"/>
  <c r="L54" i="33"/>
  <c r="L46" i="33"/>
  <c r="L41" i="33"/>
  <c r="L30" i="33"/>
  <c r="L25" i="33"/>
  <c r="L19" i="33"/>
  <c r="L13" i="33"/>
  <c r="L320" i="33"/>
  <c r="L317" i="33"/>
  <c r="L314" i="33"/>
  <c r="L311" i="33"/>
  <c r="L308" i="33"/>
  <c r="L305" i="33"/>
  <c r="L302" i="33"/>
  <c r="L300" i="33"/>
  <c r="L299" i="33"/>
  <c r="L296" i="33"/>
  <c r="L291" i="33"/>
  <c r="L288" i="33"/>
  <c r="L285" i="33"/>
  <c r="L282" i="33"/>
  <c r="L280" i="33"/>
  <c r="L277" i="33"/>
  <c r="L275" i="33"/>
  <c r="L274" i="33"/>
  <c r="L271" i="33"/>
  <c r="L269" i="33"/>
  <c r="L268" i="33"/>
  <c r="L262" i="33"/>
  <c r="L261" i="33"/>
  <c r="L258" i="33"/>
  <c r="L254" i="33"/>
  <c r="L252" i="33"/>
  <c r="L249" i="33"/>
  <c r="L247" i="33"/>
  <c r="L246" i="33"/>
  <c r="L243" i="33"/>
  <c r="L241" i="33"/>
  <c r="L240" i="33"/>
  <c r="L237" i="33"/>
  <c r="L234" i="33"/>
  <c r="L232" i="33"/>
  <c r="L227" i="33"/>
  <c r="L226" i="33"/>
  <c r="L221" i="33"/>
  <c r="L220" i="33"/>
  <c r="L214" i="33"/>
  <c r="L211" i="33"/>
  <c r="L206" i="33"/>
  <c r="L200" i="33"/>
  <c r="L193" i="33"/>
  <c r="L188" i="33"/>
  <c r="L187" i="33"/>
  <c r="L182" i="33"/>
  <c r="L177" i="33"/>
  <c r="L172" i="33"/>
  <c r="L167" i="33"/>
  <c r="L162" i="33"/>
  <c r="L161" i="33"/>
  <c r="L156" i="33"/>
  <c r="L150" i="33"/>
  <c r="L148" i="33"/>
  <c r="L143" i="33"/>
  <c r="L142" i="33"/>
  <c r="L135" i="33"/>
  <c r="L130" i="33"/>
  <c r="L120" i="33"/>
  <c r="L118" i="33"/>
  <c r="L113" i="33"/>
  <c r="L108" i="33"/>
  <c r="L106" i="33"/>
  <c r="L101" i="33"/>
  <c r="L100" i="33"/>
  <c r="L95" i="33"/>
  <c r="L92" i="33"/>
  <c r="L87" i="33"/>
  <c r="L86" i="33"/>
  <c r="L79" i="33"/>
  <c r="L78" i="33"/>
  <c r="L73" i="33"/>
  <c r="L72" i="33"/>
  <c r="L67" i="33"/>
  <c r="L66" i="33"/>
  <c r="L59" i="33"/>
  <c r="L57" i="33"/>
  <c r="L51" i="33"/>
  <c r="L44" i="33"/>
  <c r="L38" i="33"/>
  <c r="L33" i="33"/>
  <c r="L28" i="33"/>
  <c r="L22" i="33"/>
  <c r="L17" i="33"/>
  <c r="L16" i="33"/>
  <c r="L11" i="33"/>
  <c r="L10" i="33"/>
  <c r="D320" i="33"/>
  <c r="D314" i="33"/>
  <c r="D308" i="33"/>
  <c r="D302" i="33"/>
  <c r="D296" i="33"/>
  <c r="D288" i="33"/>
  <c r="D282" i="33"/>
  <c r="D277" i="33"/>
  <c r="D271" i="33"/>
  <c r="D265" i="33"/>
  <c r="D258" i="33"/>
  <c r="D249" i="33"/>
  <c r="D243" i="33"/>
  <c r="D237" i="33"/>
  <c r="D229" i="33"/>
  <c r="D223" i="33"/>
  <c r="D217" i="33"/>
  <c r="D211" i="33"/>
  <c r="D203" i="33"/>
  <c r="D197" i="33"/>
  <c r="D190" i="33"/>
  <c r="D184" i="33"/>
  <c r="D179" i="33"/>
  <c r="D174" i="33"/>
  <c r="D169" i="33"/>
  <c r="D164" i="33"/>
  <c r="D158" i="33"/>
  <c r="D153" i="33"/>
  <c r="D145" i="33"/>
  <c r="D139" i="33"/>
  <c r="D132" i="33"/>
  <c r="D128" i="33"/>
  <c r="D123" i="33"/>
  <c r="D115" i="33"/>
  <c r="D110" i="33"/>
  <c r="D103" i="33"/>
  <c r="D97" i="33"/>
  <c r="D89" i="33"/>
  <c r="D83" i="33"/>
  <c r="D75" i="33"/>
  <c r="D69" i="33"/>
  <c r="D63" i="33"/>
  <c r="D54" i="33"/>
  <c r="D46" i="33"/>
  <c r="D41" i="33"/>
  <c r="D35" i="33"/>
  <c r="L35" i="33" s="1"/>
  <c r="D30" i="33"/>
  <c r="D25" i="33"/>
  <c r="D19" i="33"/>
  <c r="D13" i="33"/>
  <c r="K320" i="33"/>
  <c r="J320" i="33"/>
  <c r="I320" i="33"/>
  <c r="H320" i="33"/>
  <c r="G320" i="33"/>
  <c r="F320" i="33"/>
  <c r="E320" i="33"/>
  <c r="L318" i="33"/>
  <c r="K314" i="33"/>
  <c r="J314" i="33"/>
  <c r="I314" i="33"/>
  <c r="H314" i="33"/>
  <c r="G314" i="33"/>
  <c r="F314" i="33"/>
  <c r="E314" i="33"/>
  <c r="K308" i="33"/>
  <c r="J308" i="33"/>
  <c r="I308" i="33"/>
  <c r="H308" i="33"/>
  <c r="G308" i="33"/>
  <c r="F308" i="33"/>
  <c r="E308" i="33"/>
  <c r="K302" i="33"/>
  <c r="J302" i="33"/>
  <c r="I302" i="33"/>
  <c r="H302" i="33"/>
  <c r="G302" i="33"/>
  <c r="F302" i="33"/>
  <c r="E302" i="33"/>
  <c r="K296" i="33"/>
  <c r="J296" i="33"/>
  <c r="I296" i="33"/>
  <c r="H296" i="33"/>
  <c r="G296" i="33"/>
  <c r="F296" i="33"/>
  <c r="E296" i="33"/>
  <c r="L294" i="33"/>
  <c r="L293" i="33"/>
  <c r="L292" i="33"/>
  <c r="K288" i="33"/>
  <c r="J288" i="33"/>
  <c r="I288" i="33"/>
  <c r="H288" i="33"/>
  <c r="G288" i="33"/>
  <c r="F288" i="33"/>
  <c r="E288" i="33"/>
  <c r="K282" i="33"/>
  <c r="J282" i="33"/>
  <c r="I282" i="33"/>
  <c r="H282" i="33"/>
  <c r="G282" i="33"/>
  <c r="F282" i="33"/>
  <c r="E282" i="33"/>
  <c r="K277" i="33"/>
  <c r="J277" i="33"/>
  <c r="I277" i="33"/>
  <c r="H277" i="33"/>
  <c r="G277" i="33"/>
  <c r="F277" i="33"/>
  <c r="E277" i="33"/>
  <c r="K271" i="33"/>
  <c r="J271" i="33"/>
  <c r="I271" i="33"/>
  <c r="H271" i="33"/>
  <c r="G271" i="33"/>
  <c r="F271" i="33"/>
  <c r="E271" i="33"/>
  <c r="K265" i="33"/>
  <c r="J265" i="33"/>
  <c r="I265" i="33"/>
  <c r="H265" i="33"/>
  <c r="G265" i="33"/>
  <c r="F265" i="33"/>
  <c r="E265" i="33"/>
  <c r="L263" i="33"/>
  <c r="K258" i="33"/>
  <c r="J258" i="33"/>
  <c r="I258" i="33"/>
  <c r="H258" i="33"/>
  <c r="G258" i="33"/>
  <c r="F258" i="33"/>
  <c r="E258" i="33"/>
  <c r="L255" i="33"/>
  <c r="L253" i="33"/>
  <c r="K249" i="33"/>
  <c r="J249" i="33"/>
  <c r="I249" i="33"/>
  <c r="H249" i="33"/>
  <c r="G249" i="33"/>
  <c r="F249" i="33"/>
  <c r="E249" i="33"/>
  <c r="K243" i="33"/>
  <c r="J243" i="33"/>
  <c r="I243" i="33"/>
  <c r="H243" i="33"/>
  <c r="G243" i="33"/>
  <c r="F243" i="33"/>
  <c r="E243" i="33"/>
  <c r="K237" i="33"/>
  <c r="J237" i="33"/>
  <c r="I237" i="33"/>
  <c r="H237" i="33"/>
  <c r="G237" i="33"/>
  <c r="F237" i="33"/>
  <c r="E237" i="33"/>
  <c r="L235" i="33"/>
  <c r="L233" i="33"/>
  <c r="K229" i="33"/>
  <c r="J229" i="33"/>
  <c r="I229" i="33"/>
  <c r="H229" i="33"/>
  <c r="G229" i="33"/>
  <c r="F229" i="33"/>
  <c r="E229" i="33"/>
  <c r="K223" i="33"/>
  <c r="J223" i="33"/>
  <c r="I223" i="33"/>
  <c r="H223" i="33"/>
  <c r="G223" i="33"/>
  <c r="F223" i="33"/>
  <c r="E223" i="33"/>
  <c r="K217" i="33"/>
  <c r="J217" i="33"/>
  <c r="I217" i="33"/>
  <c r="H217" i="33"/>
  <c r="G217" i="33"/>
  <c r="F217" i="33"/>
  <c r="E217" i="33"/>
  <c r="L215" i="33"/>
  <c r="K211" i="33"/>
  <c r="J211" i="33"/>
  <c r="I211" i="33"/>
  <c r="H211" i="33"/>
  <c r="G211" i="33"/>
  <c r="F211" i="33"/>
  <c r="E211" i="33"/>
  <c r="L209" i="33"/>
  <c r="L208" i="33"/>
  <c r="L207" i="33"/>
  <c r="K203" i="33"/>
  <c r="J203" i="33"/>
  <c r="I203" i="33"/>
  <c r="H203" i="33"/>
  <c r="G203" i="33"/>
  <c r="F203" i="33"/>
  <c r="E203" i="33"/>
  <c r="K197" i="33"/>
  <c r="J197" i="33"/>
  <c r="I197" i="33"/>
  <c r="H197" i="33"/>
  <c r="G197" i="33"/>
  <c r="F197" i="33"/>
  <c r="E197" i="33"/>
  <c r="L195" i="33"/>
  <c r="L194" i="33"/>
  <c r="K190" i="33"/>
  <c r="J190" i="33"/>
  <c r="I190" i="33"/>
  <c r="H190" i="33"/>
  <c r="G190" i="33"/>
  <c r="F190" i="33"/>
  <c r="E190" i="33"/>
  <c r="K184" i="33"/>
  <c r="J184" i="33"/>
  <c r="I184" i="33"/>
  <c r="H184" i="33"/>
  <c r="G184" i="33"/>
  <c r="F184" i="33"/>
  <c r="E184" i="33"/>
  <c r="K179" i="33"/>
  <c r="J179" i="33"/>
  <c r="I179" i="33"/>
  <c r="H179" i="33"/>
  <c r="G179" i="33"/>
  <c r="F179" i="33"/>
  <c r="E179" i="33"/>
  <c r="K174" i="33"/>
  <c r="J174" i="33"/>
  <c r="I174" i="33"/>
  <c r="H174" i="33"/>
  <c r="G174" i="33"/>
  <c r="F174" i="33"/>
  <c r="E174" i="33"/>
  <c r="K169" i="33"/>
  <c r="J169" i="33"/>
  <c r="I169" i="33"/>
  <c r="H169" i="33"/>
  <c r="G169" i="33"/>
  <c r="F169" i="33"/>
  <c r="E169" i="33"/>
  <c r="K164" i="33"/>
  <c r="J164" i="33"/>
  <c r="I164" i="33"/>
  <c r="H164" i="33"/>
  <c r="G164" i="33"/>
  <c r="F164" i="33"/>
  <c r="E164" i="33"/>
  <c r="K158" i="33"/>
  <c r="J158" i="33"/>
  <c r="I158" i="33"/>
  <c r="H158" i="33"/>
  <c r="G158" i="33"/>
  <c r="F158" i="33"/>
  <c r="E158" i="33"/>
  <c r="K153" i="33"/>
  <c r="J153" i="33"/>
  <c r="I153" i="33"/>
  <c r="H153" i="33"/>
  <c r="G153" i="33"/>
  <c r="F153" i="33"/>
  <c r="E153" i="33"/>
  <c r="L151" i="33"/>
  <c r="L149" i="33"/>
  <c r="K145" i="33"/>
  <c r="J145" i="33"/>
  <c r="I145" i="33"/>
  <c r="H145" i="33"/>
  <c r="G145" i="33"/>
  <c r="F145" i="33"/>
  <c r="E145" i="33"/>
  <c r="K139" i="33"/>
  <c r="J139" i="33"/>
  <c r="I139" i="33"/>
  <c r="H139" i="33"/>
  <c r="G139" i="33"/>
  <c r="F139" i="33"/>
  <c r="E139" i="33"/>
  <c r="L137" i="33"/>
  <c r="L136" i="33"/>
  <c r="K132" i="33"/>
  <c r="J132" i="33"/>
  <c r="I132" i="33"/>
  <c r="H132" i="33"/>
  <c r="G132" i="33"/>
  <c r="F132" i="33"/>
  <c r="E132" i="33"/>
  <c r="K128" i="33"/>
  <c r="J128" i="33"/>
  <c r="I128" i="33"/>
  <c r="H128" i="33"/>
  <c r="G128" i="33"/>
  <c r="F128" i="33"/>
  <c r="E128" i="33"/>
  <c r="L126" i="33"/>
  <c r="L128" i="33" s="1"/>
  <c r="K123" i="33"/>
  <c r="J123" i="33"/>
  <c r="I123" i="33"/>
  <c r="H123" i="33"/>
  <c r="G123" i="33"/>
  <c r="F123" i="33"/>
  <c r="E123" i="33"/>
  <c r="L121" i="33"/>
  <c r="L119" i="33"/>
  <c r="K115" i="33"/>
  <c r="J115" i="33"/>
  <c r="I115" i="33"/>
  <c r="H115" i="33"/>
  <c r="G115" i="33"/>
  <c r="F115" i="33"/>
  <c r="E115" i="33"/>
  <c r="K110" i="33"/>
  <c r="J110" i="33"/>
  <c r="I110" i="33"/>
  <c r="H110" i="33"/>
  <c r="G110" i="33"/>
  <c r="F110" i="33"/>
  <c r="E110" i="33"/>
  <c r="L107" i="33"/>
  <c r="K103" i="33"/>
  <c r="J103" i="33"/>
  <c r="I103" i="33"/>
  <c r="H103" i="33"/>
  <c r="G103" i="33"/>
  <c r="F103" i="33"/>
  <c r="E103" i="33"/>
  <c r="K97" i="33"/>
  <c r="J97" i="33"/>
  <c r="I97" i="33"/>
  <c r="H97" i="33"/>
  <c r="G97" i="33"/>
  <c r="F97" i="33"/>
  <c r="E97" i="33"/>
  <c r="L94" i="33"/>
  <c r="L93" i="33"/>
  <c r="K89" i="33"/>
  <c r="J89" i="33"/>
  <c r="I89" i="33"/>
  <c r="H89" i="33"/>
  <c r="G89" i="33"/>
  <c r="F89" i="33"/>
  <c r="E89" i="33"/>
  <c r="K83" i="33"/>
  <c r="J83" i="33"/>
  <c r="I83" i="33"/>
  <c r="H83" i="33"/>
  <c r="G83" i="33"/>
  <c r="F83" i="33"/>
  <c r="E83" i="33"/>
  <c r="L81" i="33"/>
  <c r="L80" i="33"/>
  <c r="K75" i="33"/>
  <c r="J75" i="33"/>
  <c r="I75" i="33"/>
  <c r="H75" i="33"/>
  <c r="G75" i="33"/>
  <c r="F75" i="33"/>
  <c r="E75" i="33"/>
  <c r="K69" i="33"/>
  <c r="J69" i="33"/>
  <c r="I69" i="33"/>
  <c r="H69" i="33"/>
  <c r="G69" i="33"/>
  <c r="F69" i="33"/>
  <c r="E69" i="33"/>
  <c r="K63" i="33"/>
  <c r="J63" i="33"/>
  <c r="I63" i="33"/>
  <c r="H63" i="33"/>
  <c r="G63" i="33"/>
  <c r="F63" i="33"/>
  <c r="E63" i="33"/>
  <c r="L61" i="33"/>
  <c r="L60" i="33"/>
  <c r="L58" i="33"/>
  <c r="K54" i="33"/>
  <c r="J54" i="33"/>
  <c r="I54" i="33"/>
  <c r="H54" i="33"/>
  <c r="G54" i="33"/>
  <c r="F54" i="33"/>
  <c r="E54" i="33"/>
  <c r="L52" i="33"/>
  <c r="K46" i="33"/>
  <c r="J46" i="33"/>
  <c r="I46" i="33"/>
  <c r="H46" i="33"/>
  <c r="G46" i="33"/>
  <c r="F46" i="33"/>
  <c r="E46" i="33"/>
  <c r="K41" i="33"/>
  <c r="J41" i="33"/>
  <c r="I41" i="33"/>
  <c r="H41" i="33"/>
  <c r="G41" i="33"/>
  <c r="F41" i="33"/>
  <c r="E41" i="33"/>
  <c r="L39" i="33"/>
  <c r="K35" i="33"/>
  <c r="J35" i="33"/>
  <c r="I35" i="33"/>
  <c r="H35" i="33"/>
  <c r="G35" i="33"/>
  <c r="F35" i="33"/>
  <c r="E35" i="33"/>
  <c r="K30" i="33"/>
  <c r="J30" i="33"/>
  <c r="I30" i="33"/>
  <c r="H30" i="33"/>
  <c r="G30" i="33"/>
  <c r="F30" i="33"/>
  <c r="E30" i="33"/>
  <c r="K25" i="33"/>
  <c r="J25" i="33"/>
  <c r="I25" i="33"/>
  <c r="H25" i="33"/>
  <c r="G25" i="33"/>
  <c r="F25" i="33"/>
  <c r="E25" i="33"/>
  <c r="L23" i="33"/>
  <c r="K19" i="33"/>
  <c r="J19" i="33"/>
  <c r="I19" i="33"/>
  <c r="H19" i="33"/>
  <c r="G19" i="33"/>
  <c r="F19" i="33"/>
  <c r="E19" i="33"/>
  <c r="K13" i="33"/>
  <c r="J13" i="33"/>
  <c r="I13" i="33"/>
  <c r="I322" i="33" s="1"/>
  <c r="H13" i="33"/>
  <c r="G13" i="33"/>
  <c r="F13" i="33"/>
  <c r="E13" i="33"/>
  <c r="D322" i="32"/>
  <c r="D145" i="32"/>
  <c r="D123" i="32"/>
  <c r="K123" i="32" s="1"/>
  <c r="D110" i="32"/>
  <c r="D97" i="32"/>
  <c r="D83" i="32"/>
  <c r="K10" i="32"/>
  <c r="K11" i="32"/>
  <c r="K16" i="32"/>
  <c r="K17" i="32"/>
  <c r="K28" i="32"/>
  <c r="K33" i="32"/>
  <c r="K38" i="32"/>
  <c r="K44" i="32"/>
  <c r="K46" i="32"/>
  <c r="K51" i="32"/>
  <c r="K57" i="32"/>
  <c r="K59" i="32"/>
  <c r="K66" i="32"/>
  <c r="K67" i="32"/>
  <c r="K72" i="32"/>
  <c r="K73" i="32"/>
  <c r="K78" i="32"/>
  <c r="K79" i="32"/>
  <c r="K83" i="32"/>
  <c r="K86" i="32"/>
  <c r="K87" i="32"/>
  <c r="K92" i="32"/>
  <c r="K95" i="32"/>
  <c r="K100" i="32"/>
  <c r="K101" i="32"/>
  <c r="K103" i="32"/>
  <c r="K106" i="32"/>
  <c r="K108" i="32"/>
  <c r="K113" i="32"/>
  <c r="K118" i="32"/>
  <c r="K120" i="32"/>
  <c r="K126" i="32"/>
  <c r="K128" i="32" s="1"/>
  <c r="K130" i="32"/>
  <c r="K135" i="32"/>
  <c r="K142" i="32"/>
  <c r="K143" i="32"/>
  <c r="K148" i="32"/>
  <c r="K150" i="32"/>
  <c r="K156" i="32"/>
  <c r="K161" i="32"/>
  <c r="K162" i="32"/>
  <c r="K167" i="32"/>
  <c r="K172" i="32"/>
  <c r="K177" i="32"/>
  <c r="K182" i="32"/>
  <c r="K187" i="32"/>
  <c r="K188" i="32"/>
  <c r="K193" i="32"/>
  <c r="K197" i="32"/>
  <c r="K200" i="32"/>
  <c r="K203" i="32"/>
  <c r="K206" i="32"/>
  <c r="K211" i="32" s="1"/>
  <c r="K214" i="32"/>
  <c r="K220" i="32"/>
  <c r="K221" i="32"/>
  <c r="K226" i="32"/>
  <c r="K227" i="32"/>
  <c r="K232" i="32"/>
  <c r="K234" i="32"/>
  <c r="K237" i="32"/>
  <c r="K240" i="32"/>
  <c r="K241" i="32"/>
  <c r="K246" i="32"/>
  <c r="K247" i="32"/>
  <c r="K252" i="32"/>
  <c r="K261" i="32"/>
  <c r="K262" i="32"/>
  <c r="K265" i="32" s="1"/>
  <c r="K268" i="32"/>
  <c r="K269" i="32"/>
  <c r="K274" i="32"/>
  <c r="K275" i="32"/>
  <c r="K280" i="32"/>
  <c r="K285" i="32"/>
  <c r="K291" i="32"/>
  <c r="K300" i="32"/>
  <c r="K299" i="32"/>
  <c r="K305" i="32"/>
  <c r="K311" i="32"/>
  <c r="K317" i="32"/>
  <c r="D153" i="32"/>
  <c r="K153" i="32" s="1"/>
  <c r="D139" i="32"/>
  <c r="K139" i="32" s="1"/>
  <c r="D320" i="32"/>
  <c r="K320" i="32" s="1"/>
  <c r="D314" i="32"/>
  <c r="D308" i="32"/>
  <c r="D302" i="32"/>
  <c r="D296" i="32"/>
  <c r="D288" i="32"/>
  <c r="K288" i="32" s="1"/>
  <c r="D282" i="32"/>
  <c r="D277" i="32"/>
  <c r="D271" i="32"/>
  <c r="K271" i="32" s="1"/>
  <c r="D265" i="32"/>
  <c r="D258" i="32"/>
  <c r="D249" i="32"/>
  <c r="K249" i="32" s="1"/>
  <c r="D243" i="32"/>
  <c r="K243" i="32" s="1"/>
  <c r="D237" i="32"/>
  <c r="D229" i="32"/>
  <c r="K229" i="32" s="1"/>
  <c r="D223" i="32"/>
  <c r="D217" i="32"/>
  <c r="K217" i="32" s="1"/>
  <c r="D211" i="32"/>
  <c r="D203" i="32"/>
  <c r="D197" i="32"/>
  <c r="D190" i="32"/>
  <c r="K190" i="32" s="1"/>
  <c r="D184" i="32"/>
  <c r="D179" i="32"/>
  <c r="K179" i="32" s="1"/>
  <c r="D174" i="32"/>
  <c r="K174" i="32" s="1"/>
  <c r="D158" i="32"/>
  <c r="D169" i="32"/>
  <c r="D164" i="32"/>
  <c r="K145" i="32"/>
  <c r="D132" i="32"/>
  <c r="K132" i="32" s="1"/>
  <c r="D128" i="32"/>
  <c r="D115" i="32"/>
  <c r="D103" i="32"/>
  <c r="K97" i="32"/>
  <c r="D89" i="32"/>
  <c r="D75" i="32"/>
  <c r="D54" i="32"/>
  <c r="D63" i="32"/>
  <c r="K63" i="32" s="1"/>
  <c r="D69" i="32"/>
  <c r="K69" i="32" s="1"/>
  <c r="D46" i="32"/>
  <c r="D41" i="32"/>
  <c r="K41" i="32" s="1"/>
  <c r="D35" i="32"/>
  <c r="K35" i="32" s="1"/>
  <c r="D30" i="32"/>
  <c r="K30" i="32" s="1"/>
  <c r="K22" i="32"/>
  <c r="D25" i="32"/>
  <c r="D13" i="32"/>
  <c r="D19" i="32"/>
  <c r="K19" i="32" s="1"/>
  <c r="E19" i="32"/>
  <c r="J320" i="32"/>
  <c r="I320" i="32"/>
  <c r="H320" i="32"/>
  <c r="G320" i="32"/>
  <c r="F320" i="32"/>
  <c r="E320" i="32"/>
  <c r="K318" i="32"/>
  <c r="J314" i="32"/>
  <c r="I314" i="32"/>
  <c r="H314" i="32"/>
  <c r="G314" i="32"/>
  <c r="F314" i="32"/>
  <c r="E314" i="32"/>
  <c r="J308" i="32"/>
  <c r="I308" i="32"/>
  <c r="H308" i="32"/>
  <c r="G308" i="32"/>
  <c r="F308" i="32"/>
  <c r="E308" i="32"/>
  <c r="J302" i="32"/>
  <c r="I302" i="32"/>
  <c r="H302" i="32"/>
  <c r="G302" i="32"/>
  <c r="F302" i="32"/>
  <c r="E302" i="32"/>
  <c r="J296" i="32"/>
  <c r="I296" i="32"/>
  <c r="H296" i="32"/>
  <c r="G296" i="32"/>
  <c r="F296" i="32"/>
  <c r="E296" i="32"/>
  <c r="K294" i="32"/>
  <c r="K293" i="32"/>
  <c r="K292" i="32"/>
  <c r="J288" i="32"/>
  <c r="I288" i="32"/>
  <c r="H288" i="32"/>
  <c r="G288" i="32"/>
  <c r="F288" i="32"/>
  <c r="E288" i="32"/>
  <c r="J282" i="32"/>
  <c r="I282" i="32"/>
  <c r="H282" i="32"/>
  <c r="G282" i="32"/>
  <c r="F282" i="32"/>
  <c r="E282" i="32"/>
  <c r="J277" i="32"/>
  <c r="I277" i="32"/>
  <c r="H277" i="32"/>
  <c r="G277" i="32"/>
  <c r="F277" i="32"/>
  <c r="E277" i="32"/>
  <c r="J271" i="32"/>
  <c r="I271" i="32"/>
  <c r="H271" i="32"/>
  <c r="G271" i="32"/>
  <c r="F271" i="32"/>
  <c r="E271" i="32"/>
  <c r="J265" i="32"/>
  <c r="I265" i="32"/>
  <c r="H265" i="32"/>
  <c r="G265" i="32"/>
  <c r="F265" i="32"/>
  <c r="E265" i="32"/>
  <c r="K263" i="32"/>
  <c r="J258" i="32"/>
  <c r="I258" i="32"/>
  <c r="H258" i="32"/>
  <c r="G258" i="32"/>
  <c r="F258" i="32"/>
  <c r="E258" i="32"/>
  <c r="K255" i="32"/>
  <c r="K254" i="32"/>
  <c r="K253" i="32"/>
  <c r="J249" i="32"/>
  <c r="I249" i="32"/>
  <c r="H249" i="32"/>
  <c r="G249" i="32"/>
  <c r="F249" i="32"/>
  <c r="E249" i="32"/>
  <c r="J243" i="32"/>
  <c r="I243" i="32"/>
  <c r="H243" i="32"/>
  <c r="G243" i="32"/>
  <c r="F243" i="32"/>
  <c r="E243" i="32"/>
  <c r="J237" i="32"/>
  <c r="I237" i="32"/>
  <c r="H237" i="32"/>
  <c r="G237" i="32"/>
  <c r="F237" i="32"/>
  <c r="E237" i="32"/>
  <c r="K235" i="32"/>
  <c r="K233" i="32"/>
  <c r="J229" i="32"/>
  <c r="I229" i="32"/>
  <c r="H229" i="32"/>
  <c r="G229" i="32"/>
  <c r="F229" i="32"/>
  <c r="E229" i="32"/>
  <c r="J223" i="32"/>
  <c r="I223" i="32"/>
  <c r="H223" i="32"/>
  <c r="G223" i="32"/>
  <c r="F223" i="32"/>
  <c r="E223" i="32"/>
  <c r="J217" i="32"/>
  <c r="I217" i="32"/>
  <c r="H217" i="32"/>
  <c r="G217" i="32"/>
  <c r="F217" i="32"/>
  <c r="E217" i="32"/>
  <c r="K215" i="32"/>
  <c r="J211" i="32"/>
  <c r="I211" i="32"/>
  <c r="H211" i="32"/>
  <c r="G211" i="32"/>
  <c r="F211" i="32"/>
  <c r="E211" i="32"/>
  <c r="K209" i="32"/>
  <c r="K208" i="32"/>
  <c r="K207" i="32"/>
  <c r="J203" i="32"/>
  <c r="I203" i="32"/>
  <c r="H203" i="32"/>
  <c r="G203" i="32"/>
  <c r="F203" i="32"/>
  <c r="E203" i="32"/>
  <c r="J197" i="32"/>
  <c r="I197" i="32"/>
  <c r="H197" i="32"/>
  <c r="G197" i="32"/>
  <c r="F197" i="32"/>
  <c r="E197" i="32"/>
  <c r="K195" i="32"/>
  <c r="K194" i="32"/>
  <c r="J190" i="32"/>
  <c r="I190" i="32"/>
  <c r="H190" i="32"/>
  <c r="G190" i="32"/>
  <c r="F190" i="32"/>
  <c r="E190" i="32"/>
  <c r="J184" i="32"/>
  <c r="I184" i="32"/>
  <c r="H184" i="32"/>
  <c r="G184" i="32"/>
  <c r="K184" i="32" s="1"/>
  <c r="F184" i="32"/>
  <c r="E184" i="32"/>
  <c r="J179" i="32"/>
  <c r="I179" i="32"/>
  <c r="H179" i="32"/>
  <c r="G179" i="32"/>
  <c r="F179" i="32"/>
  <c r="E179" i="32"/>
  <c r="J174" i="32"/>
  <c r="I174" i="32"/>
  <c r="H174" i="32"/>
  <c r="G174" i="32"/>
  <c r="F174" i="32"/>
  <c r="E174" i="32"/>
  <c r="J169" i="32"/>
  <c r="I169" i="32"/>
  <c r="H169" i="32"/>
  <c r="G169" i="32"/>
  <c r="F169" i="32"/>
  <c r="E169" i="32"/>
  <c r="J164" i="32"/>
  <c r="I164" i="32"/>
  <c r="H164" i="32"/>
  <c r="G164" i="32"/>
  <c r="F164" i="32"/>
  <c r="E164" i="32"/>
  <c r="J158" i="32"/>
  <c r="I158" i="32"/>
  <c r="H158" i="32"/>
  <c r="G158" i="32"/>
  <c r="F158" i="32"/>
  <c r="E158" i="32"/>
  <c r="J153" i="32"/>
  <c r="I153" i="32"/>
  <c r="H153" i="32"/>
  <c r="G153" i="32"/>
  <c r="F153" i="32"/>
  <c r="E153" i="32"/>
  <c r="K151" i="32"/>
  <c r="K149" i="32"/>
  <c r="J145" i="32"/>
  <c r="I145" i="32"/>
  <c r="H145" i="32"/>
  <c r="G145" i="32"/>
  <c r="F145" i="32"/>
  <c r="E145" i="32"/>
  <c r="J139" i="32"/>
  <c r="I139" i="32"/>
  <c r="H139" i="32"/>
  <c r="G139" i="32"/>
  <c r="F139" i="32"/>
  <c r="E139" i="32"/>
  <c r="K137" i="32"/>
  <c r="K136" i="32"/>
  <c r="J132" i="32"/>
  <c r="I132" i="32"/>
  <c r="H132" i="32"/>
  <c r="G132" i="32"/>
  <c r="F132" i="32"/>
  <c r="E132" i="32"/>
  <c r="J128" i="32"/>
  <c r="I128" i="32"/>
  <c r="H128" i="32"/>
  <c r="G128" i="32"/>
  <c r="F128" i="32"/>
  <c r="E128" i="32"/>
  <c r="J123" i="32"/>
  <c r="I123" i="32"/>
  <c r="H123" i="32"/>
  <c r="G123" i="32"/>
  <c r="F123" i="32"/>
  <c r="E123" i="32"/>
  <c r="K121" i="32"/>
  <c r="K119" i="32"/>
  <c r="J115" i="32"/>
  <c r="I115" i="32"/>
  <c r="H115" i="32"/>
  <c r="G115" i="32"/>
  <c r="K115" i="32" s="1"/>
  <c r="F115" i="32"/>
  <c r="E115" i="32"/>
  <c r="J110" i="32"/>
  <c r="I110" i="32"/>
  <c r="H110" i="32"/>
  <c r="G110" i="32"/>
  <c r="F110" i="32"/>
  <c r="E110" i="32"/>
  <c r="K107" i="32"/>
  <c r="J103" i="32"/>
  <c r="I103" i="32"/>
  <c r="H103" i="32"/>
  <c r="G103" i="32"/>
  <c r="F103" i="32"/>
  <c r="E103" i="32"/>
  <c r="J97" i="32"/>
  <c r="I97" i="32"/>
  <c r="H97" i="32"/>
  <c r="G97" i="32"/>
  <c r="F97" i="32"/>
  <c r="E97" i="32"/>
  <c r="K94" i="32"/>
  <c r="K93" i="32"/>
  <c r="J89" i="32"/>
  <c r="I89" i="32"/>
  <c r="H89" i="32"/>
  <c r="G89" i="32"/>
  <c r="F89" i="32"/>
  <c r="E89" i="32"/>
  <c r="J83" i="32"/>
  <c r="I83" i="32"/>
  <c r="H83" i="32"/>
  <c r="G83" i="32"/>
  <c r="F83" i="32"/>
  <c r="E83" i="32"/>
  <c r="K81" i="32"/>
  <c r="K80" i="32"/>
  <c r="J75" i="32"/>
  <c r="I75" i="32"/>
  <c r="H75" i="32"/>
  <c r="G75" i="32"/>
  <c r="F75" i="32"/>
  <c r="E75" i="32"/>
  <c r="J69" i="32"/>
  <c r="I69" i="32"/>
  <c r="H69" i="32"/>
  <c r="G69" i="32"/>
  <c r="F69" i="32"/>
  <c r="E69" i="32"/>
  <c r="J63" i="32"/>
  <c r="I63" i="32"/>
  <c r="H63" i="32"/>
  <c r="G63" i="32"/>
  <c r="F63" i="32"/>
  <c r="E63" i="32"/>
  <c r="K61" i="32"/>
  <c r="K60" i="32"/>
  <c r="K58" i="32"/>
  <c r="J54" i="32"/>
  <c r="I54" i="32"/>
  <c r="H54" i="32"/>
  <c r="G54" i="32"/>
  <c r="F54" i="32"/>
  <c r="E54" i="32"/>
  <c r="K52" i="32"/>
  <c r="J46" i="32"/>
  <c r="I46" i="32"/>
  <c r="H46" i="32"/>
  <c r="G46" i="32"/>
  <c r="F46" i="32"/>
  <c r="E46" i="32"/>
  <c r="J41" i="32"/>
  <c r="I41" i="32"/>
  <c r="H41" i="32"/>
  <c r="G41" i="32"/>
  <c r="F41" i="32"/>
  <c r="E41" i="32"/>
  <c r="K39" i="32"/>
  <c r="J35" i="32"/>
  <c r="I35" i="32"/>
  <c r="H35" i="32"/>
  <c r="G35" i="32"/>
  <c r="F35" i="32"/>
  <c r="E35" i="32"/>
  <c r="J30" i="32"/>
  <c r="I30" i="32"/>
  <c r="H30" i="32"/>
  <c r="G30" i="32"/>
  <c r="F30" i="32"/>
  <c r="E30" i="32"/>
  <c r="J25" i="32"/>
  <c r="I25" i="32"/>
  <c r="H25" i="32"/>
  <c r="G25" i="32"/>
  <c r="F25" i="32"/>
  <c r="E25" i="32"/>
  <c r="K23" i="32"/>
  <c r="J19" i="32"/>
  <c r="I19" i="32"/>
  <c r="H19" i="32"/>
  <c r="G19" i="32"/>
  <c r="F19" i="32"/>
  <c r="J13" i="32"/>
  <c r="I13" i="32"/>
  <c r="H13" i="32"/>
  <c r="G13" i="32"/>
  <c r="F13" i="32"/>
  <c r="E13" i="32"/>
  <c r="J241" i="31"/>
  <c r="J240" i="31"/>
  <c r="I320" i="31"/>
  <c r="H320" i="31"/>
  <c r="G320" i="31"/>
  <c r="F320" i="31"/>
  <c r="E320" i="31"/>
  <c r="D320" i="31"/>
  <c r="J320" i="31" s="1"/>
  <c r="J318" i="31"/>
  <c r="J317" i="31"/>
  <c r="I314" i="31"/>
  <c r="H314" i="31"/>
  <c r="G314" i="31"/>
  <c r="F314" i="31"/>
  <c r="E314" i="31"/>
  <c r="D314" i="31"/>
  <c r="J311" i="31"/>
  <c r="I308" i="31"/>
  <c r="H308" i="31"/>
  <c r="G308" i="31"/>
  <c r="F308" i="31"/>
  <c r="E308" i="31"/>
  <c r="D308" i="31"/>
  <c r="J305" i="31"/>
  <c r="I302" i="31"/>
  <c r="H302" i="31"/>
  <c r="G302" i="31"/>
  <c r="F302" i="31"/>
  <c r="E302" i="31"/>
  <c r="D302" i="31"/>
  <c r="J300" i="31"/>
  <c r="J299" i="31"/>
  <c r="I296" i="31"/>
  <c r="H296" i="31"/>
  <c r="G296" i="31"/>
  <c r="F296" i="31"/>
  <c r="E296" i="31"/>
  <c r="D296" i="31"/>
  <c r="J294" i="31"/>
  <c r="J293" i="31"/>
  <c r="J292" i="31"/>
  <c r="J291" i="31"/>
  <c r="I288" i="31"/>
  <c r="H288" i="31"/>
  <c r="G288" i="31"/>
  <c r="F288" i="31"/>
  <c r="E288" i="31"/>
  <c r="D288" i="31"/>
  <c r="J285" i="31"/>
  <c r="I282" i="31"/>
  <c r="H282" i="31"/>
  <c r="G282" i="31"/>
  <c r="F282" i="31"/>
  <c r="E282" i="31"/>
  <c r="D282" i="31"/>
  <c r="J282" i="31" s="1"/>
  <c r="J280" i="31"/>
  <c r="I277" i="31"/>
  <c r="H277" i="31"/>
  <c r="G277" i="31"/>
  <c r="F277" i="31"/>
  <c r="E277" i="31"/>
  <c r="D277" i="31"/>
  <c r="J277" i="31" s="1"/>
  <c r="J275" i="31"/>
  <c r="J274" i="31"/>
  <c r="I271" i="31"/>
  <c r="H271" i="31"/>
  <c r="G271" i="31"/>
  <c r="F271" i="31"/>
  <c r="E271" i="31"/>
  <c r="D271" i="31"/>
  <c r="J269" i="31"/>
  <c r="J268" i="31"/>
  <c r="I265" i="31"/>
  <c r="H265" i="31"/>
  <c r="G265" i="31"/>
  <c r="F265" i="31"/>
  <c r="E265" i="31"/>
  <c r="D265" i="31"/>
  <c r="J263" i="31"/>
  <c r="J262" i="31"/>
  <c r="J261" i="31"/>
  <c r="I258" i="31"/>
  <c r="H258" i="31"/>
  <c r="G258" i="31"/>
  <c r="F258" i="31"/>
  <c r="E258" i="31"/>
  <c r="D258" i="31"/>
  <c r="J255" i="31"/>
  <c r="J254" i="31"/>
  <c r="J253" i="31"/>
  <c r="J252" i="31"/>
  <c r="I249" i="31"/>
  <c r="H249" i="31"/>
  <c r="G249" i="31"/>
  <c r="F249" i="31"/>
  <c r="E249" i="31"/>
  <c r="D249" i="31"/>
  <c r="J247" i="31"/>
  <c r="J246" i="31"/>
  <c r="I243" i="31"/>
  <c r="H243" i="31"/>
  <c r="G243" i="31"/>
  <c r="F243" i="31"/>
  <c r="E243" i="31"/>
  <c r="D243" i="31"/>
  <c r="I237" i="31"/>
  <c r="H237" i="31"/>
  <c r="G237" i="31"/>
  <c r="F237" i="31"/>
  <c r="E237" i="31"/>
  <c r="D237" i="31"/>
  <c r="J235" i="31"/>
  <c r="J234" i="31"/>
  <c r="J233" i="31"/>
  <c r="J232" i="31"/>
  <c r="I229" i="31"/>
  <c r="H229" i="31"/>
  <c r="G229" i="31"/>
  <c r="F229" i="31"/>
  <c r="E229" i="31"/>
  <c r="D229" i="31"/>
  <c r="J227" i="31"/>
  <c r="J226" i="31"/>
  <c r="I223" i="31"/>
  <c r="H223" i="31"/>
  <c r="G223" i="31"/>
  <c r="F223" i="31"/>
  <c r="E223" i="31"/>
  <c r="D223" i="31"/>
  <c r="J221" i="31"/>
  <c r="J220" i="31"/>
  <c r="I217" i="31"/>
  <c r="H217" i="31"/>
  <c r="G217" i="31"/>
  <c r="F217" i="31"/>
  <c r="E217" i="31"/>
  <c r="D217" i="31"/>
  <c r="J217" i="31" s="1"/>
  <c r="J215" i="31"/>
  <c r="J214" i="31"/>
  <c r="I211" i="31"/>
  <c r="H211" i="31"/>
  <c r="G211" i="31"/>
  <c r="F211" i="31"/>
  <c r="E211" i="31"/>
  <c r="D211" i="31"/>
  <c r="J209" i="31"/>
  <c r="J208" i="31"/>
  <c r="J207" i="31"/>
  <c r="J206" i="31"/>
  <c r="I203" i="31"/>
  <c r="H203" i="31"/>
  <c r="G203" i="31"/>
  <c r="F203" i="31"/>
  <c r="E203" i="31"/>
  <c r="D203" i="31"/>
  <c r="J203" i="31" s="1"/>
  <c r="J200" i="31"/>
  <c r="I197" i="31"/>
  <c r="H197" i="31"/>
  <c r="G197" i="31"/>
  <c r="F197" i="31"/>
  <c r="E197" i="31"/>
  <c r="D197" i="31"/>
  <c r="J197" i="31" s="1"/>
  <c r="J195" i="31"/>
  <c r="J194" i="31"/>
  <c r="J193" i="31"/>
  <c r="I190" i="31"/>
  <c r="H190" i="31"/>
  <c r="G190" i="31"/>
  <c r="F190" i="31"/>
  <c r="E190" i="31"/>
  <c r="D190" i="31"/>
  <c r="J188" i="31"/>
  <c r="J187" i="31"/>
  <c r="I184" i="31"/>
  <c r="H184" i="31"/>
  <c r="G184" i="31"/>
  <c r="F184" i="31"/>
  <c r="E184" i="31"/>
  <c r="D184" i="31"/>
  <c r="J182" i="31"/>
  <c r="I179" i="31"/>
  <c r="H179" i="31"/>
  <c r="G179" i="31"/>
  <c r="F179" i="31"/>
  <c r="E179" i="31"/>
  <c r="D179" i="31"/>
  <c r="J177" i="31"/>
  <c r="I174" i="31"/>
  <c r="H174" i="31"/>
  <c r="G174" i="31"/>
  <c r="F174" i="31"/>
  <c r="E174" i="31"/>
  <c r="D174" i="31"/>
  <c r="J172" i="31"/>
  <c r="I169" i="31"/>
  <c r="H169" i="31"/>
  <c r="G169" i="31"/>
  <c r="F169" i="31"/>
  <c r="E169" i="31"/>
  <c r="D169" i="31"/>
  <c r="J167" i="31"/>
  <c r="I164" i="31"/>
  <c r="H164" i="31"/>
  <c r="G164" i="31"/>
  <c r="F164" i="31"/>
  <c r="E164" i="31"/>
  <c r="D164" i="31"/>
  <c r="J162" i="31"/>
  <c r="J161" i="31"/>
  <c r="I158" i="31"/>
  <c r="H158" i="31"/>
  <c r="G158" i="31"/>
  <c r="F158" i="31"/>
  <c r="E158" i="31"/>
  <c r="D158" i="31"/>
  <c r="J156" i="31"/>
  <c r="I153" i="31"/>
  <c r="H153" i="31"/>
  <c r="G153" i="31"/>
  <c r="F153" i="31"/>
  <c r="E153" i="31"/>
  <c r="D153" i="31"/>
  <c r="J151" i="31"/>
  <c r="J150" i="31"/>
  <c r="J149" i="31"/>
  <c r="J148" i="31"/>
  <c r="I145" i="31"/>
  <c r="H145" i="31"/>
  <c r="G145" i="31"/>
  <c r="F145" i="31"/>
  <c r="E145" i="31"/>
  <c r="D145" i="31"/>
  <c r="J145" i="31" s="1"/>
  <c r="J143" i="31"/>
  <c r="J142" i="31"/>
  <c r="I139" i="31"/>
  <c r="H139" i="31"/>
  <c r="G139" i="31"/>
  <c r="F139" i="31"/>
  <c r="E139" i="31"/>
  <c r="D139" i="31"/>
  <c r="J139" i="31" s="1"/>
  <c r="J137" i="31"/>
  <c r="J136" i="31"/>
  <c r="J135" i="31"/>
  <c r="I132" i="31"/>
  <c r="H132" i="31"/>
  <c r="G132" i="31"/>
  <c r="F132" i="31"/>
  <c r="J132" i="31" s="1"/>
  <c r="E132" i="31"/>
  <c r="D132" i="31"/>
  <c r="J130" i="31"/>
  <c r="J128" i="31"/>
  <c r="I128" i="31"/>
  <c r="H128" i="31"/>
  <c r="G128" i="31"/>
  <c r="F128" i="31"/>
  <c r="E128" i="31"/>
  <c r="D128" i="31"/>
  <c r="J126" i="31"/>
  <c r="J123" i="31"/>
  <c r="I123" i="31"/>
  <c r="H123" i="31"/>
  <c r="G123" i="31"/>
  <c r="F123" i="31"/>
  <c r="E123" i="31"/>
  <c r="D123" i="31"/>
  <c r="J121" i="31"/>
  <c r="J120" i="31"/>
  <c r="J119" i="31"/>
  <c r="J118" i="31"/>
  <c r="I115" i="31"/>
  <c r="H115" i="31"/>
  <c r="G115" i="31"/>
  <c r="F115" i="31"/>
  <c r="E115" i="31"/>
  <c r="D115" i="31"/>
  <c r="J113" i="31"/>
  <c r="I110" i="31"/>
  <c r="H110" i="31"/>
  <c r="G110" i="31"/>
  <c r="F110" i="31"/>
  <c r="E110" i="31"/>
  <c r="D110" i="31"/>
  <c r="J108" i="31"/>
  <c r="J107" i="31"/>
  <c r="J106" i="31"/>
  <c r="I103" i="31"/>
  <c r="H103" i="31"/>
  <c r="G103" i="31"/>
  <c r="F103" i="31"/>
  <c r="E103" i="31"/>
  <c r="D103" i="31"/>
  <c r="J103" i="31" s="1"/>
  <c r="J101" i="31"/>
  <c r="J100" i="31"/>
  <c r="I97" i="31"/>
  <c r="H97" i="31"/>
  <c r="G97" i="31"/>
  <c r="F97" i="31"/>
  <c r="E97" i="31"/>
  <c r="D97" i="31"/>
  <c r="J95" i="31"/>
  <c r="J94" i="31"/>
  <c r="J93" i="31"/>
  <c r="J92" i="31"/>
  <c r="I89" i="31"/>
  <c r="H89" i="31"/>
  <c r="G89" i="31"/>
  <c r="F89" i="31"/>
  <c r="E89" i="31"/>
  <c r="D89" i="31"/>
  <c r="J87" i="31"/>
  <c r="J86" i="31"/>
  <c r="I83" i="31"/>
  <c r="H83" i="31"/>
  <c r="G83" i="31"/>
  <c r="F83" i="31"/>
  <c r="E83" i="31"/>
  <c r="D83" i="31"/>
  <c r="J83" i="31" s="1"/>
  <c r="J81" i="31"/>
  <c r="J80" i="31"/>
  <c r="J79" i="31"/>
  <c r="J78" i="31"/>
  <c r="I75" i="31"/>
  <c r="H75" i="31"/>
  <c r="G75" i="31"/>
  <c r="F75" i="31"/>
  <c r="E75" i="31"/>
  <c r="D75" i="31"/>
  <c r="J73" i="31"/>
  <c r="J72" i="31"/>
  <c r="I69" i="31"/>
  <c r="H69" i="31"/>
  <c r="G69" i="31"/>
  <c r="F69" i="31"/>
  <c r="E69" i="31"/>
  <c r="D69" i="31"/>
  <c r="J67" i="31"/>
  <c r="J66" i="31"/>
  <c r="I63" i="31"/>
  <c r="H63" i="31"/>
  <c r="G63" i="31"/>
  <c r="F63" i="31"/>
  <c r="E63" i="31"/>
  <c r="D63" i="31"/>
  <c r="J61" i="31"/>
  <c r="J60" i="31"/>
  <c r="J59" i="31"/>
  <c r="J58" i="31"/>
  <c r="J57" i="31"/>
  <c r="I54" i="31"/>
  <c r="H54" i="31"/>
  <c r="G54" i="31"/>
  <c r="F54" i="31"/>
  <c r="E54" i="31"/>
  <c r="D54" i="31"/>
  <c r="J52" i="31"/>
  <c r="J51" i="31"/>
  <c r="I46" i="31"/>
  <c r="H46" i="31"/>
  <c r="G46" i="31"/>
  <c r="F46" i="31"/>
  <c r="E46" i="31"/>
  <c r="D46" i="31"/>
  <c r="J46" i="31" s="1"/>
  <c r="J44" i="31"/>
  <c r="I41" i="31"/>
  <c r="H41" i="31"/>
  <c r="G41" i="31"/>
  <c r="F41" i="31"/>
  <c r="E41" i="31"/>
  <c r="D41" i="31"/>
  <c r="J39" i="31"/>
  <c r="J38" i="31"/>
  <c r="I35" i="31"/>
  <c r="H35" i="31"/>
  <c r="G35" i="31"/>
  <c r="F35" i="31"/>
  <c r="E35" i="31"/>
  <c r="D35" i="31"/>
  <c r="J35" i="31" s="1"/>
  <c r="J33" i="31"/>
  <c r="I30" i="31"/>
  <c r="H30" i="31"/>
  <c r="G30" i="31"/>
  <c r="F30" i="31"/>
  <c r="E30" i="31"/>
  <c r="D30" i="31"/>
  <c r="J30" i="31" s="1"/>
  <c r="J28" i="31"/>
  <c r="I25" i="31"/>
  <c r="H25" i="31"/>
  <c r="G25" i="31"/>
  <c r="F25" i="31"/>
  <c r="E25" i="31"/>
  <c r="D25" i="31"/>
  <c r="J25" i="31" s="1"/>
  <c r="J23" i="31"/>
  <c r="J22" i="31"/>
  <c r="I19" i="31"/>
  <c r="H19" i="31"/>
  <c r="G19" i="31"/>
  <c r="F19" i="31"/>
  <c r="E19" i="31"/>
  <c r="D19" i="31"/>
  <c r="J17" i="31"/>
  <c r="J16" i="31"/>
  <c r="I13" i="31"/>
  <c r="I322" i="31" s="1"/>
  <c r="H13" i="31"/>
  <c r="H322" i="31" s="1"/>
  <c r="G13" i="31"/>
  <c r="G322" i="31" s="1"/>
  <c r="F13" i="31"/>
  <c r="E13" i="31"/>
  <c r="D13" i="31"/>
  <c r="J11" i="31"/>
  <c r="J10" i="31"/>
  <c r="I320" i="30"/>
  <c r="H320" i="30"/>
  <c r="G320" i="30"/>
  <c r="F320" i="30"/>
  <c r="E320" i="30"/>
  <c r="D320" i="30"/>
  <c r="J318" i="30"/>
  <c r="J317" i="30"/>
  <c r="I314" i="30"/>
  <c r="H314" i="30"/>
  <c r="G314" i="30"/>
  <c r="F314" i="30"/>
  <c r="E314" i="30"/>
  <c r="D314" i="30"/>
  <c r="J311" i="30"/>
  <c r="I308" i="30"/>
  <c r="H308" i="30"/>
  <c r="G308" i="30"/>
  <c r="F308" i="30"/>
  <c r="E308" i="30"/>
  <c r="D308" i="30"/>
  <c r="J305" i="30"/>
  <c r="I302" i="30"/>
  <c r="H302" i="30"/>
  <c r="G302" i="30"/>
  <c r="F302" i="30"/>
  <c r="E302" i="30"/>
  <c r="D302" i="30"/>
  <c r="J300" i="30"/>
  <c r="J299" i="30"/>
  <c r="I296" i="30"/>
  <c r="H296" i="30"/>
  <c r="G296" i="30"/>
  <c r="F296" i="30"/>
  <c r="E296" i="30"/>
  <c r="D296" i="30"/>
  <c r="J294" i="30"/>
  <c r="J293" i="30"/>
  <c r="J292" i="30"/>
  <c r="J291" i="30"/>
  <c r="I288" i="30"/>
  <c r="H288" i="30"/>
  <c r="G288" i="30"/>
  <c r="F288" i="30"/>
  <c r="E288" i="30"/>
  <c r="D288" i="30"/>
  <c r="J285" i="30"/>
  <c r="I282" i="30"/>
  <c r="H282" i="30"/>
  <c r="G282" i="30"/>
  <c r="F282" i="30"/>
  <c r="E282" i="30"/>
  <c r="D282" i="30"/>
  <c r="J280" i="30"/>
  <c r="I277" i="30"/>
  <c r="H277" i="30"/>
  <c r="G277" i="30"/>
  <c r="F277" i="30"/>
  <c r="E277" i="30"/>
  <c r="D277" i="30"/>
  <c r="J275" i="30"/>
  <c r="J274" i="30"/>
  <c r="I271" i="30"/>
  <c r="H271" i="30"/>
  <c r="G271" i="30"/>
  <c r="F271" i="30"/>
  <c r="E271" i="30"/>
  <c r="D271" i="30"/>
  <c r="J269" i="30"/>
  <c r="J268" i="30"/>
  <c r="I265" i="30"/>
  <c r="H265" i="30"/>
  <c r="G265" i="30"/>
  <c r="F265" i="30"/>
  <c r="E265" i="30"/>
  <c r="D265" i="30"/>
  <c r="J263" i="30"/>
  <c r="J262" i="30"/>
  <c r="J261" i="30"/>
  <c r="I258" i="30"/>
  <c r="H258" i="30"/>
  <c r="G258" i="30"/>
  <c r="F258" i="30"/>
  <c r="E258" i="30"/>
  <c r="D258" i="30"/>
  <c r="J255" i="30"/>
  <c r="J254" i="30"/>
  <c r="J253" i="30"/>
  <c r="J252" i="30"/>
  <c r="I249" i="30"/>
  <c r="H249" i="30"/>
  <c r="G249" i="30"/>
  <c r="F249" i="30"/>
  <c r="E249" i="30"/>
  <c r="D249" i="30"/>
  <c r="J247" i="30"/>
  <c r="J246" i="30"/>
  <c r="I243" i="30"/>
  <c r="H243" i="30"/>
  <c r="G243" i="30"/>
  <c r="F243" i="30"/>
  <c r="E243" i="30"/>
  <c r="D243" i="30"/>
  <c r="J240" i="30"/>
  <c r="I237" i="30"/>
  <c r="H237" i="30"/>
  <c r="G237" i="30"/>
  <c r="F237" i="30"/>
  <c r="E237" i="30"/>
  <c r="D237" i="30"/>
  <c r="J235" i="30"/>
  <c r="J234" i="30"/>
  <c r="J233" i="30"/>
  <c r="J232" i="30"/>
  <c r="I229" i="30"/>
  <c r="H229" i="30"/>
  <c r="G229" i="30"/>
  <c r="F229" i="30"/>
  <c r="E229" i="30"/>
  <c r="D229" i="30"/>
  <c r="J227" i="30"/>
  <c r="J226" i="30"/>
  <c r="I223" i="30"/>
  <c r="H223" i="30"/>
  <c r="G223" i="30"/>
  <c r="F223" i="30"/>
  <c r="E223" i="30"/>
  <c r="D223" i="30"/>
  <c r="J221" i="30"/>
  <c r="J220" i="30"/>
  <c r="I217" i="30"/>
  <c r="H217" i="30"/>
  <c r="G217" i="30"/>
  <c r="F217" i="30"/>
  <c r="E217" i="30"/>
  <c r="D217" i="30"/>
  <c r="J215" i="30"/>
  <c r="J214" i="30"/>
  <c r="I211" i="30"/>
  <c r="H211" i="30"/>
  <c r="G211" i="30"/>
  <c r="F211" i="30"/>
  <c r="E211" i="30"/>
  <c r="D211" i="30"/>
  <c r="J209" i="30"/>
  <c r="J208" i="30"/>
  <c r="J207" i="30"/>
  <c r="J206" i="30"/>
  <c r="I203" i="30"/>
  <c r="H203" i="30"/>
  <c r="G203" i="30"/>
  <c r="F203" i="30"/>
  <c r="E203" i="30"/>
  <c r="D203" i="30"/>
  <c r="J200" i="30"/>
  <c r="I197" i="30"/>
  <c r="H197" i="30"/>
  <c r="G197" i="30"/>
  <c r="F197" i="30"/>
  <c r="E197" i="30"/>
  <c r="D197" i="30"/>
  <c r="J195" i="30"/>
  <c r="J194" i="30"/>
  <c r="J193" i="30"/>
  <c r="I190" i="30"/>
  <c r="H190" i="30"/>
  <c r="G190" i="30"/>
  <c r="F190" i="30"/>
  <c r="E190" i="30"/>
  <c r="D190" i="30"/>
  <c r="J188" i="30"/>
  <c r="J187" i="30"/>
  <c r="I184" i="30"/>
  <c r="H184" i="30"/>
  <c r="G184" i="30"/>
  <c r="F184" i="30"/>
  <c r="E184" i="30"/>
  <c r="D184" i="30"/>
  <c r="J182" i="30"/>
  <c r="I179" i="30"/>
  <c r="H179" i="30"/>
  <c r="G179" i="30"/>
  <c r="F179" i="30"/>
  <c r="E179" i="30"/>
  <c r="D179" i="30"/>
  <c r="J177" i="30"/>
  <c r="I174" i="30"/>
  <c r="H174" i="30"/>
  <c r="G174" i="30"/>
  <c r="F174" i="30"/>
  <c r="E174" i="30"/>
  <c r="D174" i="30"/>
  <c r="J172" i="30"/>
  <c r="I169" i="30"/>
  <c r="H169" i="30"/>
  <c r="G169" i="30"/>
  <c r="F169" i="30"/>
  <c r="E169" i="30"/>
  <c r="D169" i="30"/>
  <c r="J167" i="30"/>
  <c r="I164" i="30"/>
  <c r="H164" i="30"/>
  <c r="G164" i="30"/>
  <c r="F164" i="30"/>
  <c r="E164" i="30"/>
  <c r="D164" i="30"/>
  <c r="J162" i="30"/>
  <c r="J161" i="30"/>
  <c r="I158" i="30"/>
  <c r="H158" i="30"/>
  <c r="G158" i="30"/>
  <c r="F158" i="30"/>
  <c r="E158" i="30"/>
  <c r="D158" i="30"/>
  <c r="J156" i="30"/>
  <c r="I153" i="30"/>
  <c r="H153" i="30"/>
  <c r="G153" i="30"/>
  <c r="F153" i="30"/>
  <c r="E153" i="30"/>
  <c r="D153" i="30"/>
  <c r="J151" i="30"/>
  <c r="J150" i="30"/>
  <c r="J149" i="30"/>
  <c r="J148" i="30"/>
  <c r="I145" i="30"/>
  <c r="H145" i="30"/>
  <c r="G145" i="30"/>
  <c r="F145" i="30"/>
  <c r="E145" i="30"/>
  <c r="D145" i="30"/>
  <c r="J143" i="30"/>
  <c r="J142" i="30"/>
  <c r="I139" i="30"/>
  <c r="H139" i="30"/>
  <c r="G139" i="30"/>
  <c r="F139" i="30"/>
  <c r="E139" i="30"/>
  <c r="D139" i="30"/>
  <c r="J137" i="30"/>
  <c r="J136" i="30"/>
  <c r="J135" i="30"/>
  <c r="I132" i="30"/>
  <c r="H132" i="30"/>
  <c r="G132" i="30"/>
  <c r="F132" i="30"/>
  <c r="E132" i="30"/>
  <c r="D132" i="30"/>
  <c r="J130" i="30"/>
  <c r="I128" i="30"/>
  <c r="H128" i="30"/>
  <c r="G128" i="30"/>
  <c r="F128" i="30"/>
  <c r="E128" i="30"/>
  <c r="D128" i="30"/>
  <c r="J126" i="30"/>
  <c r="J128" i="30" s="1"/>
  <c r="I123" i="30"/>
  <c r="H123" i="30"/>
  <c r="G123" i="30"/>
  <c r="F123" i="30"/>
  <c r="E123" i="30"/>
  <c r="D123" i="30"/>
  <c r="J121" i="30"/>
  <c r="J120" i="30"/>
  <c r="J119" i="30"/>
  <c r="J118" i="30"/>
  <c r="I115" i="30"/>
  <c r="H115" i="30"/>
  <c r="G115" i="30"/>
  <c r="F115" i="30"/>
  <c r="E115" i="30"/>
  <c r="D115" i="30"/>
  <c r="J113" i="30"/>
  <c r="I110" i="30"/>
  <c r="H110" i="30"/>
  <c r="G110" i="30"/>
  <c r="F110" i="30"/>
  <c r="E110" i="30"/>
  <c r="D110" i="30"/>
  <c r="J108" i="30"/>
  <c r="J107" i="30"/>
  <c r="J106" i="30"/>
  <c r="I103" i="30"/>
  <c r="H103" i="30"/>
  <c r="G103" i="30"/>
  <c r="F103" i="30"/>
  <c r="E103" i="30"/>
  <c r="D103" i="30"/>
  <c r="J101" i="30"/>
  <c r="J100" i="30"/>
  <c r="I97" i="30"/>
  <c r="H97" i="30"/>
  <c r="G97" i="30"/>
  <c r="F97" i="30"/>
  <c r="E97" i="30"/>
  <c r="D97" i="30"/>
  <c r="J95" i="30"/>
  <c r="J94" i="30"/>
  <c r="J93" i="30"/>
  <c r="J92" i="30"/>
  <c r="I89" i="30"/>
  <c r="H89" i="30"/>
  <c r="G89" i="30"/>
  <c r="F89" i="30"/>
  <c r="E89" i="30"/>
  <c r="D89" i="30"/>
  <c r="J87" i="30"/>
  <c r="J86" i="30"/>
  <c r="I83" i="30"/>
  <c r="H83" i="30"/>
  <c r="G83" i="30"/>
  <c r="F83" i="30"/>
  <c r="E83" i="30"/>
  <c r="D83" i="30"/>
  <c r="J81" i="30"/>
  <c r="J80" i="30"/>
  <c r="J79" i="30"/>
  <c r="J78" i="30"/>
  <c r="I75" i="30"/>
  <c r="H75" i="30"/>
  <c r="G75" i="30"/>
  <c r="F75" i="30"/>
  <c r="E75" i="30"/>
  <c r="D75" i="30"/>
  <c r="J73" i="30"/>
  <c r="J72" i="30"/>
  <c r="I69" i="30"/>
  <c r="H69" i="30"/>
  <c r="G69" i="30"/>
  <c r="F69" i="30"/>
  <c r="E69" i="30"/>
  <c r="D69" i="30"/>
  <c r="J67" i="30"/>
  <c r="J66" i="30"/>
  <c r="I63" i="30"/>
  <c r="H63" i="30"/>
  <c r="G63" i="30"/>
  <c r="F63" i="30"/>
  <c r="E63" i="30"/>
  <c r="D63" i="30"/>
  <c r="J61" i="30"/>
  <c r="J60" i="30"/>
  <c r="J59" i="30"/>
  <c r="J58" i="30"/>
  <c r="J57" i="30"/>
  <c r="I54" i="30"/>
  <c r="H54" i="30"/>
  <c r="G54" i="30"/>
  <c r="F54" i="30"/>
  <c r="E54" i="30"/>
  <c r="D54" i="30"/>
  <c r="J52" i="30"/>
  <c r="J51" i="30"/>
  <c r="I46" i="30"/>
  <c r="H46" i="30"/>
  <c r="G46" i="30"/>
  <c r="F46" i="30"/>
  <c r="E46" i="30"/>
  <c r="D46" i="30"/>
  <c r="J44" i="30"/>
  <c r="I41" i="30"/>
  <c r="H41" i="30"/>
  <c r="G41" i="30"/>
  <c r="F41" i="30"/>
  <c r="E41" i="30"/>
  <c r="D41" i="30"/>
  <c r="J39" i="30"/>
  <c r="J38" i="30"/>
  <c r="I35" i="30"/>
  <c r="H35" i="30"/>
  <c r="G35" i="30"/>
  <c r="F35" i="30"/>
  <c r="E35" i="30"/>
  <c r="D35" i="30"/>
  <c r="J33" i="30"/>
  <c r="I30" i="30"/>
  <c r="H30" i="30"/>
  <c r="G30" i="30"/>
  <c r="F30" i="30"/>
  <c r="E30" i="30"/>
  <c r="D30" i="30"/>
  <c r="J28" i="30"/>
  <c r="I25" i="30"/>
  <c r="H25" i="30"/>
  <c r="G25" i="30"/>
  <c r="F25" i="30"/>
  <c r="E25" i="30"/>
  <c r="D25" i="30"/>
  <c r="J23" i="30"/>
  <c r="J22" i="30"/>
  <c r="I19" i="30"/>
  <c r="H19" i="30"/>
  <c r="G19" i="30"/>
  <c r="F19" i="30"/>
  <c r="E19" i="30"/>
  <c r="D19" i="30"/>
  <c r="J17" i="30"/>
  <c r="J16" i="30"/>
  <c r="I13" i="30"/>
  <c r="H13" i="30"/>
  <c r="G13" i="30"/>
  <c r="F13" i="30"/>
  <c r="E13" i="30"/>
  <c r="D13" i="30"/>
  <c r="J11" i="30"/>
  <c r="J10" i="30"/>
  <c r="E8" i="30"/>
  <c r="F8" i="30" s="1"/>
  <c r="D322" i="33" l="1"/>
  <c r="J322" i="33"/>
  <c r="K322" i="33"/>
  <c r="E322" i="33"/>
  <c r="F322" i="33"/>
  <c r="L265" i="33"/>
  <c r="G322" i="33"/>
  <c r="H322" i="33"/>
  <c r="K314" i="32"/>
  <c r="K308" i="32"/>
  <c r="K296" i="32"/>
  <c r="K282" i="32"/>
  <c r="K277" i="32"/>
  <c r="K258" i="32"/>
  <c r="K223" i="32"/>
  <c r="K169" i="32"/>
  <c r="K164" i="32"/>
  <c r="K158" i="32"/>
  <c r="K110" i="32"/>
  <c r="K89" i="32"/>
  <c r="K54" i="32"/>
  <c r="G322" i="32"/>
  <c r="K25" i="32"/>
  <c r="K75" i="32"/>
  <c r="H322" i="32"/>
  <c r="K13" i="32"/>
  <c r="F322" i="32"/>
  <c r="K302" i="32"/>
  <c r="E322" i="32"/>
  <c r="I322" i="32"/>
  <c r="J322" i="32"/>
  <c r="J41" i="31"/>
  <c r="J271" i="31"/>
  <c r="J249" i="31"/>
  <c r="J243" i="31"/>
  <c r="J237" i="31"/>
  <c r="J190" i="31"/>
  <c r="J158" i="31"/>
  <c r="F322" i="31"/>
  <c r="J97" i="31"/>
  <c r="J75" i="31"/>
  <c r="J296" i="31"/>
  <c r="J288" i="31"/>
  <c r="J229" i="31"/>
  <c r="J153" i="31"/>
  <c r="J69" i="31"/>
  <c r="E322" i="31"/>
  <c r="J19" i="31"/>
  <c r="J314" i="31"/>
  <c r="J308" i="31"/>
  <c r="J302" i="31"/>
  <c r="J265" i="31"/>
  <c r="J258" i="31"/>
  <c r="J223" i="31"/>
  <c r="J211" i="31"/>
  <c r="J184" i="31"/>
  <c r="J179" i="31"/>
  <c r="J174" i="31"/>
  <c r="J169" i="31"/>
  <c r="J164" i="31"/>
  <c r="J115" i="31"/>
  <c r="J110" i="31"/>
  <c r="J89" i="31"/>
  <c r="J63" i="31"/>
  <c r="J54" i="31"/>
  <c r="D322" i="31"/>
  <c r="J13" i="31"/>
  <c r="G322" i="30"/>
  <c r="J30" i="30"/>
  <c r="J46" i="30"/>
  <c r="J132" i="30"/>
  <c r="J158" i="30"/>
  <c r="J164" i="30"/>
  <c r="J184" i="30"/>
  <c r="J203" i="30"/>
  <c r="J229" i="30"/>
  <c r="J237" i="30"/>
  <c r="J288" i="30"/>
  <c r="J314" i="30"/>
  <c r="H322" i="30"/>
  <c r="J19" i="30"/>
  <c r="J25" i="30"/>
  <c r="J41" i="30"/>
  <c r="J69" i="30"/>
  <c r="J75" i="30"/>
  <c r="J97" i="30"/>
  <c r="J103" i="30"/>
  <c r="J123" i="30"/>
  <c r="J153" i="30"/>
  <c r="J179" i="30"/>
  <c r="J197" i="30"/>
  <c r="J249" i="30"/>
  <c r="J258" i="30"/>
  <c r="J282" i="30"/>
  <c r="J308" i="30"/>
  <c r="J13" i="30"/>
  <c r="J174" i="30"/>
  <c r="J217" i="30"/>
  <c r="J277" i="30"/>
  <c r="J302" i="30"/>
  <c r="J320" i="30"/>
  <c r="I322" i="30"/>
  <c r="J63" i="30"/>
  <c r="J115" i="30"/>
  <c r="J190" i="30"/>
  <c r="J223" i="30"/>
  <c r="J271" i="30"/>
  <c r="J296" i="30"/>
  <c r="F322" i="30"/>
  <c r="J35" i="30"/>
  <c r="J54" i="30"/>
  <c r="J83" i="30"/>
  <c r="J89" i="30"/>
  <c r="J110" i="30"/>
  <c r="J139" i="30"/>
  <c r="J145" i="30"/>
  <c r="J169" i="30"/>
  <c r="J211" i="30"/>
  <c r="J243" i="30"/>
  <c r="J265" i="30"/>
  <c r="D322" i="30"/>
  <c r="E322" i="30"/>
  <c r="E153" i="29"/>
  <c r="L322" i="33" l="1"/>
  <c r="K322" i="32"/>
  <c r="J322" i="31"/>
  <c r="J322" i="30"/>
  <c r="E8" i="29"/>
  <c r="F8" i="29" s="1"/>
  <c r="I320" i="29"/>
  <c r="H320" i="29"/>
  <c r="G320" i="29"/>
  <c r="F320" i="29"/>
  <c r="E320" i="29"/>
  <c r="D320" i="29"/>
  <c r="J318" i="29"/>
  <c r="J317" i="29"/>
  <c r="I314" i="29"/>
  <c r="H314" i="29"/>
  <c r="G314" i="29"/>
  <c r="F314" i="29"/>
  <c r="E314" i="29"/>
  <c r="D314" i="29"/>
  <c r="J311" i="29"/>
  <c r="I308" i="29"/>
  <c r="H308" i="29"/>
  <c r="G308" i="29"/>
  <c r="F308" i="29"/>
  <c r="E308" i="29"/>
  <c r="D308" i="29"/>
  <c r="J305" i="29"/>
  <c r="I302" i="29"/>
  <c r="H302" i="29"/>
  <c r="G302" i="29"/>
  <c r="F302" i="29"/>
  <c r="E302" i="29"/>
  <c r="D302" i="29"/>
  <c r="J300" i="29"/>
  <c r="J299" i="29"/>
  <c r="I296" i="29"/>
  <c r="H296" i="29"/>
  <c r="G296" i="29"/>
  <c r="F296" i="29"/>
  <c r="E296" i="29"/>
  <c r="D296" i="29"/>
  <c r="J294" i="29"/>
  <c r="J293" i="29"/>
  <c r="J292" i="29"/>
  <c r="J291" i="29"/>
  <c r="I288" i="29"/>
  <c r="H288" i="29"/>
  <c r="G288" i="29"/>
  <c r="F288" i="29"/>
  <c r="E288" i="29"/>
  <c r="D288" i="29"/>
  <c r="J285" i="29"/>
  <c r="I282" i="29"/>
  <c r="H282" i="29"/>
  <c r="G282" i="29"/>
  <c r="F282" i="29"/>
  <c r="E282" i="29"/>
  <c r="D282" i="29"/>
  <c r="J280" i="29"/>
  <c r="I277" i="29"/>
  <c r="H277" i="29"/>
  <c r="G277" i="29"/>
  <c r="F277" i="29"/>
  <c r="E277" i="29"/>
  <c r="D277" i="29"/>
  <c r="J275" i="29"/>
  <c r="J274" i="29"/>
  <c r="I271" i="29"/>
  <c r="H271" i="29"/>
  <c r="G271" i="29"/>
  <c r="F271" i="29"/>
  <c r="E271" i="29"/>
  <c r="D271" i="29"/>
  <c r="J269" i="29"/>
  <c r="J268" i="29"/>
  <c r="I265" i="29"/>
  <c r="H265" i="29"/>
  <c r="G265" i="29"/>
  <c r="F265" i="29"/>
  <c r="E265" i="29"/>
  <c r="D265" i="29"/>
  <c r="J263" i="29"/>
  <c r="J262" i="29"/>
  <c r="J261" i="29"/>
  <c r="I258" i="29"/>
  <c r="H258" i="29"/>
  <c r="G258" i="29"/>
  <c r="F258" i="29"/>
  <c r="E258" i="29"/>
  <c r="D258" i="29"/>
  <c r="J255" i="29"/>
  <c r="J254" i="29"/>
  <c r="J253" i="29"/>
  <c r="J252" i="29"/>
  <c r="I249" i="29"/>
  <c r="H249" i="29"/>
  <c r="G249" i="29"/>
  <c r="F249" i="29"/>
  <c r="E249" i="29"/>
  <c r="D249" i="29"/>
  <c r="J247" i="29"/>
  <c r="J246" i="29"/>
  <c r="I243" i="29"/>
  <c r="H243" i="29"/>
  <c r="G243" i="29"/>
  <c r="F243" i="29"/>
  <c r="E243" i="29"/>
  <c r="D243" i="29"/>
  <c r="J240" i="29"/>
  <c r="I237" i="29"/>
  <c r="H237" i="29"/>
  <c r="G237" i="29"/>
  <c r="F237" i="29"/>
  <c r="E237" i="29"/>
  <c r="D237" i="29"/>
  <c r="J235" i="29"/>
  <c r="J234" i="29"/>
  <c r="J233" i="29"/>
  <c r="J232" i="29"/>
  <c r="I229" i="29"/>
  <c r="H229" i="29"/>
  <c r="G229" i="29"/>
  <c r="F229" i="29"/>
  <c r="E229" i="29"/>
  <c r="D229" i="29"/>
  <c r="J227" i="29"/>
  <c r="J226" i="29"/>
  <c r="I223" i="29"/>
  <c r="H223" i="29"/>
  <c r="G223" i="29"/>
  <c r="F223" i="29"/>
  <c r="E223" i="29"/>
  <c r="D223" i="29"/>
  <c r="J221" i="29"/>
  <c r="J220" i="29"/>
  <c r="I217" i="29"/>
  <c r="H217" i="29"/>
  <c r="G217" i="29"/>
  <c r="F217" i="29"/>
  <c r="E217" i="29"/>
  <c r="D217" i="29"/>
  <c r="J215" i="29"/>
  <c r="J214" i="29"/>
  <c r="I211" i="29"/>
  <c r="H211" i="29"/>
  <c r="G211" i="29"/>
  <c r="F211" i="29"/>
  <c r="E211" i="29"/>
  <c r="D211" i="29"/>
  <c r="J209" i="29"/>
  <c r="J208" i="29"/>
  <c r="J207" i="29"/>
  <c r="J206" i="29"/>
  <c r="I203" i="29"/>
  <c r="H203" i="29"/>
  <c r="G203" i="29"/>
  <c r="F203" i="29"/>
  <c r="E203" i="29"/>
  <c r="D203" i="29"/>
  <c r="J200" i="29"/>
  <c r="I197" i="29"/>
  <c r="H197" i="29"/>
  <c r="G197" i="29"/>
  <c r="F197" i="29"/>
  <c r="E197" i="29"/>
  <c r="D197" i="29"/>
  <c r="J195" i="29"/>
  <c r="J194" i="29"/>
  <c r="J193" i="29"/>
  <c r="I190" i="29"/>
  <c r="H190" i="29"/>
  <c r="G190" i="29"/>
  <c r="F190" i="29"/>
  <c r="E190" i="29"/>
  <c r="D190" i="29"/>
  <c r="J188" i="29"/>
  <c r="J187" i="29"/>
  <c r="I184" i="29"/>
  <c r="H184" i="29"/>
  <c r="G184" i="29"/>
  <c r="F184" i="29"/>
  <c r="E184" i="29"/>
  <c r="D184" i="29"/>
  <c r="J182" i="29"/>
  <c r="I179" i="29"/>
  <c r="H179" i="29"/>
  <c r="G179" i="29"/>
  <c r="F179" i="29"/>
  <c r="E179" i="29"/>
  <c r="D179" i="29"/>
  <c r="J177" i="29"/>
  <c r="I174" i="29"/>
  <c r="H174" i="29"/>
  <c r="G174" i="29"/>
  <c r="F174" i="29"/>
  <c r="E174" i="29"/>
  <c r="D174" i="29"/>
  <c r="J172" i="29"/>
  <c r="I169" i="29"/>
  <c r="H169" i="29"/>
  <c r="G169" i="29"/>
  <c r="F169" i="29"/>
  <c r="E169" i="29"/>
  <c r="D169" i="29"/>
  <c r="J167" i="29"/>
  <c r="I164" i="29"/>
  <c r="H164" i="29"/>
  <c r="G164" i="29"/>
  <c r="F164" i="29"/>
  <c r="E164" i="29"/>
  <c r="D164" i="29"/>
  <c r="J162" i="29"/>
  <c r="J161" i="29"/>
  <c r="I158" i="29"/>
  <c r="H158" i="29"/>
  <c r="G158" i="29"/>
  <c r="F158" i="29"/>
  <c r="E158" i="29"/>
  <c r="D158" i="29"/>
  <c r="J156" i="29"/>
  <c r="I153" i="29"/>
  <c r="H153" i="29"/>
  <c r="G153" i="29"/>
  <c r="F153" i="29"/>
  <c r="D153" i="29"/>
  <c r="J151" i="29"/>
  <c r="J150" i="29"/>
  <c r="J149" i="29"/>
  <c r="J148" i="29"/>
  <c r="I145" i="29"/>
  <c r="H145" i="29"/>
  <c r="G145" i="29"/>
  <c r="F145" i="29"/>
  <c r="E145" i="29"/>
  <c r="D145" i="29"/>
  <c r="J143" i="29"/>
  <c r="J142" i="29"/>
  <c r="I139" i="29"/>
  <c r="H139" i="29"/>
  <c r="G139" i="29"/>
  <c r="F139" i="29"/>
  <c r="E139" i="29"/>
  <c r="D139" i="29"/>
  <c r="J137" i="29"/>
  <c r="J136" i="29"/>
  <c r="J135" i="29"/>
  <c r="I132" i="29"/>
  <c r="H132" i="29"/>
  <c r="G132" i="29"/>
  <c r="F132" i="29"/>
  <c r="E132" i="29"/>
  <c r="D132" i="29"/>
  <c r="J130" i="29"/>
  <c r="I128" i="29"/>
  <c r="H128" i="29"/>
  <c r="G128" i="29"/>
  <c r="F128" i="29"/>
  <c r="E128" i="29"/>
  <c r="D128" i="29"/>
  <c r="J126" i="29"/>
  <c r="J128" i="29" s="1"/>
  <c r="I123" i="29"/>
  <c r="H123" i="29"/>
  <c r="G123" i="29"/>
  <c r="F123" i="29"/>
  <c r="E123" i="29"/>
  <c r="D123" i="29"/>
  <c r="J121" i="29"/>
  <c r="J120" i="29"/>
  <c r="J119" i="29"/>
  <c r="J118" i="29"/>
  <c r="I115" i="29"/>
  <c r="H115" i="29"/>
  <c r="G115" i="29"/>
  <c r="F115" i="29"/>
  <c r="E115" i="29"/>
  <c r="D115" i="29"/>
  <c r="J113" i="29"/>
  <c r="I110" i="29"/>
  <c r="H110" i="29"/>
  <c r="G110" i="29"/>
  <c r="F110" i="29"/>
  <c r="E110" i="29"/>
  <c r="D110" i="29"/>
  <c r="J108" i="29"/>
  <c r="J107" i="29"/>
  <c r="J106" i="29"/>
  <c r="I103" i="29"/>
  <c r="H103" i="29"/>
  <c r="G103" i="29"/>
  <c r="F103" i="29"/>
  <c r="E103" i="29"/>
  <c r="D103" i="29"/>
  <c r="J101" i="29"/>
  <c r="J100" i="29"/>
  <c r="I97" i="29"/>
  <c r="H97" i="29"/>
  <c r="G97" i="29"/>
  <c r="F97" i="29"/>
  <c r="E97" i="29"/>
  <c r="D97" i="29"/>
  <c r="J95" i="29"/>
  <c r="J94" i="29"/>
  <c r="J93" i="29"/>
  <c r="J92" i="29"/>
  <c r="I89" i="29"/>
  <c r="H89" i="29"/>
  <c r="G89" i="29"/>
  <c r="F89" i="29"/>
  <c r="E89" i="29"/>
  <c r="D89" i="29"/>
  <c r="J87" i="29"/>
  <c r="J86" i="29"/>
  <c r="I83" i="29"/>
  <c r="H83" i="29"/>
  <c r="G83" i="29"/>
  <c r="F83" i="29"/>
  <c r="E83" i="29"/>
  <c r="D83" i="29"/>
  <c r="J81" i="29"/>
  <c r="J80" i="29"/>
  <c r="J79" i="29"/>
  <c r="J78" i="29"/>
  <c r="I75" i="29"/>
  <c r="H75" i="29"/>
  <c r="G75" i="29"/>
  <c r="F75" i="29"/>
  <c r="E75" i="29"/>
  <c r="D75" i="29"/>
  <c r="J73" i="29"/>
  <c r="J72" i="29"/>
  <c r="I69" i="29"/>
  <c r="H69" i="29"/>
  <c r="G69" i="29"/>
  <c r="F69" i="29"/>
  <c r="E69" i="29"/>
  <c r="D69" i="29"/>
  <c r="J67" i="29"/>
  <c r="J66" i="29"/>
  <c r="I63" i="29"/>
  <c r="H63" i="29"/>
  <c r="G63" i="29"/>
  <c r="F63" i="29"/>
  <c r="E63" i="29"/>
  <c r="D63" i="29"/>
  <c r="J61" i="29"/>
  <c r="J60" i="29"/>
  <c r="J59" i="29"/>
  <c r="J58" i="29"/>
  <c r="J57" i="29"/>
  <c r="I54" i="29"/>
  <c r="H54" i="29"/>
  <c r="G54" i="29"/>
  <c r="F54" i="29"/>
  <c r="E54" i="29"/>
  <c r="D54" i="29"/>
  <c r="J52" i="29"/>
  <c r="J51" i="29"/>
  <c r="I47" i="29"/>
  <c r="H47" i="29"/>
  <c r="G47" i="29"/>
  <c r="F47" i="29"/>
  <c r="E47" i="29"/>
  <c r="D47" i="29"/>
  <c r="J45" i="29"/>
  <c r="I42" i="29"/>
  <c r="H42" i="29"/>
  <c r="G42" i="29"/>
  <c r="F42" i="29"/>
  <c r="E42" i="29"/>
  <c r="D42" i="29"/>
  <c r="J40" i="29"/>
  <c r="J39" i="29"/>
  <c r="I36" i="29"/>
  <c r="H36" i="29"/>
  <c r="G36" i="29"/>
  <c r="F36" i="29"/>
  <c r="E36" i="29"/>
  <c r="D36" i="29"/>
  <c r="J34" i="29"/>
  <c r="I31" i="29"/>
  <c r="H31" i="29"/>
  <c r="G31" i="29"/>
  <c r="F31" i="29"/>
  <c r="E31" i="29"/>
  <c r="D31" i="29"/>
  <c r="J29" i="29"/>
  <c r="I25" i="29"/>
  <c r="H25" i="29"/>
  <c r="G25" i="29"/>
  <c r="F25" i="29"/>
  <c r="E25" i="29"/>
  <c r="D25" i="29"/>
  <c r="J23" i="29"/>
  <c r="J22" i="29"/>
  <c r="I19" i="29"/>
  <c r="H19" i="29"/>
  <c r="G19" i="29"/>
  <c r="F19" i="29"/>
  <c r="E19" i="29"/>
  <c r="D19" i="29"/>
  <c r="J17" i="29"/>
  <c r="J16" i="29"/>
  <c r="I13" i="29"/>
  <c r="H13" i="29"/>
  <c r="G13" i="29"/>
  <c r="F13" i="29"/>
  <c r="E13" i="29"/>
  <c r="D13" i="29"/>
  <c r="J11" i="29"/>
  <c r="J10" i="29"/>
  <c r="G322" i="29" l="1"/>
  <c r="J47" i="29"/>
  <c r="J132" i="29"/>
  <c r="J158" i="29"/>
  <c r="J174" i="29"/>
  <c r="J203" i="29"/>
  <c r="J223" i="29"/>
  <c r="J229" i="29"/>
  <c r="J277" i="29"/>
  <c r="J302" i="29"/>
  <c r="D322" i="29"/>
  <c r="H322" i="29"/>
  <c r="J19" i="29"/>
  <c r="J36" i="29"/>
  <c r="J42" i="29"/>
  <c r="J63" i="29"/>
  <c r="J69" i="29"/>
  <c r="J89" i="29"/>
  <c r="J97" i="29"/>
  <c r="J115" i="29"/>
  <c r="J123" i="29"/>
  <c r="J145" i="29"/>
  <c r="J153" i="29"/>
  <c r="J169" i="29"/>
  <c r="J197" i="29"/>
  <c r="J243" i="29"/>
  <c r="J249" i="29"/>
  <c r="E322" i="29"/>
  <c r="I322" i="29"/>
  <c r="J31" i="29"/>
  <c r="J54" i="29"/>
  <c r="J110" i="29"/>
  <c r="J164" i="29"/>
  <c r="J184" i="29"/>
  <c r="J190" i="29"/>
  <c r="J211" i="29"/>
  <c r="J217" i="29"/>
  <c r="J237" i="29"/>
  <c r="J271" i="29"/>
  <c r="J288" i="29"/>
  <c r="J296" i="29"/>
  <c r="J314" i="29"/>
  <c r="J320" i="29"/>
  <c r="F322" i="29"/>
  <c r="J25" i="29"/>
  <c r="J75" i="29"/>
  <c r="J83" i="29"/>
  <c r="J103" i="29"/>
  <c r="J139" i="29"/>
  <c r="J179" i="29"/>
  <c r="J258" i="29"/>
  <c r="J265" i="29"/>
  <c r="J282" i="29"/>
  <c r="J308" i="29"/>
  <c r="J13" i="29"/>
  <c r="E65" i="28"/>
  <c r="I323" i="28"/>
  <c r="H323" i="28"/>
  <c r="G323" i="28"/>
  <c r="F323" i="28"/>
  <c r="E323" i="28"/>
  <c r="D323" i="28"/>
  <c r="J321" i="28"/>
  <c r="J320" i="28"/>
  <c r="I317" i="28"/>
  <c r="H317" i="28"/>
  <c r="G317" i="28"/>
  <c r="F317" i="28"/>
  <c r="E317" i="28"/>
  <c r="D317" i="28"/>
  <c r="J314" i="28"/>
  <c r="I311" i="28"/>
  <c r="H311" i="28"/>
  <c r="G311" i="28"/>
  <c r="F311" i="28"/>
  <c r="E311" i="28"/>
  <c r="D311" i="28"/>
  <c r="J308" i="28"/>
  <c r="I305" i="28"/>
  <c r="H305" i="28"/>
  <c r="G305" i="28"/>
  <c r="F305" i="28"/>
  <c r="E305" i="28"/>
  <c r="D305" i="28"/>
  <c r="J303" i="28"/>
  <c r="J302" i="28"/>
  <c r="I299" i="28"/>
  <c r="H299" i="28"/>
  <c r="G299" i="28"/>
  <c r="F299" i="28"/>
  <c r="E299" i="28"/>
  <c r="D299" i="28"/>
  <c r="J297" i="28"/>
  <c r="J296" i="28"/>
  <c r="J295" i="28"/>
  <c r="J294" i="28"/>
  <c r="I291" i="28"/>
  <c r="H291" i="28"/>
  <c r="G291" i="28"/>
  <c r="F291" i="28"/>
  <c r="E291" i="28"/>
  <c r="D291" i="28"/>
  <c r="J288" i="28"/>
  <c r="I285" i="28"/>
  <c r="H285" i="28"/>
  <c r="G285" i="28"/>
  <c r="F285" i="28"/>
  <c r="E285" i="28"/>
  <c r="D285" i="28"/>
  <c r="J283" i="28"/>
  <c r="I280" i="28"/>
  <c r="H280" i="28"/>
  <c r="G280" i="28"/>
  <c r="F280" i="28"/>
  <c r="E280" i="28"/>
  <c r="D280" i="28"/>
  <c r="J278" i="28"/>
  <c r="J277" i="28"/>
  <c r="I274" i="28"/>
  <c r="H274" i="28"/>
  <c r="G274" i="28"/>
  <c r="F274" i="28"/>
  <c r="E274" i="28"/>
  <c r="D274" i="28"/>
  <c r="J272" i="28"/>
  <c r="J271" i="28"/>
  <c r="I268" i="28"/>
  <c r="H268" i="28"/>
  <c r="G268" i="28"/>
  <c r="F268" i="28"/>
  <c r="E268" i="28"/>
  <c r="D268" i="28"/>
  <c r="J266" i="28"/>
  <c r="J265" i="28"/>
  <c r="J264" i="28"/>
  <c r="I261" i="28"/>
  <c r="H261" i="28"/>
  <c r="G261" i="28"/>
  <c r="F261" i="28"/>
  <c r="E261" i="28"/>
  <c r="D261" i="28"/>
  <c r="J258" i="28"/>
  <c r="J257" i="28"/>
  <c r="J256" i="28"/>
  <c r="J255" i="28"/>
  <c r="I252" i="28"/>
  <c r="H252" i="28"/>
  <c r="G252" i="28"/>
  <c r="F252" i="28"/>
  <c r="E252" i="28"/>
  <c r="D252" i="28"/>
  <c r="J252" i="28" s="1"/>
  <c r="J250" i="28"/>
  <c r="J249" i="28"/>
  <c r="I246" i="28"/>
  <c r="H246" i="28"/>
  <c r="G246" i="28"/>
  <c r="F246" i="28"/>
  <c r="E246" i="28"/>
  <c r="D246" i="28"/>
  <c r="J243" i="28"/>
  <c r="I240" i="28"/>
  <c r="H240" i="28"/>
  <c r="G240" i="28"/>
  <c r="F240" i="28"/>
  <c r="E240" i="28"/>
  <c r="D240" i="28"/>
  <c r="J238" i="28"/>
  <c r="J237" i="28"/>
  <c r="J236" i="28"/>
  <c r="J235" i="28"/>
  <c r="I232" i="28"/>
  <c r="H232" i="28"/>
  <c r="G232" i="28"/>
  <c r="F232" i="28"/>
  <c r="E232" i="28"/>
  <c r="D232" i="28"/>
  <c r="J230" i="28"/>
  <c r="J229" i="28"/>
  <c r="I226" i="28"/>
  <c r="H226" i="28"/>
  <c r="G226" i="28"/>
  <c r="F226" i="28"/>
  <c r="E226" i="28"/>
  <c r="D226" i="28"/>
  <c r="J224" i="28"/>
  <c r="J223" i="28"/>
  <c r="I220" i="28"/>
  <c r="H220" i="28"/>
  <c r="G220" i="28"/>
  <c r="F220" i="28"/>
  <c r="E220" i="28"/>
  <c r="D220" i="28"/>
  <c r="J218" i="28"/>
  <c r="J217" i="28"/>
  <c r="I214" i="28"/>
  <c r="H214" i="28"/>
  <c r="G214" i="28"/>
  <c r="F214" i="28"/>
  <c r="E214" i="28"/>
  <c r="D214" i="28"/>
  <c r="J212" i="28"/>
  <c r="J211" i="28"/>
  <c r="J210" i="28"/>
  <c r="J209" i="28"/>
  <c r="I206" i="28"/>
  <c r="H206" i="28"/>
  <c r="G206" i="28"/>
  <c r="F206" i="28"/>
  <c r="E206" i="28"/>
  <c r="D206" i="28"/>
  <c r="J203" i="28"/>
  <c r="I200" i="28"/>
  <c r="H200" i="28"/>
  <c r="G200" i="28"/>
  <c r="F200" i="28"/>
  <c r="E200" i="28"/>
  <c r="D200" i="28"/>
  <c r="J198" i="28"/>
  <c r="J197" i="28"/>
  <c r="J196" i="28"/>
  <c r="I193" i="28"/>
  <c r="H193" i="28"/>
  <c r="G193" i="28"/>
  <c r="F193" i="28"/>
  <c r="E193" i="28"/>
  <c r="D193" i="28"/>
  <c r="J191" i="28"/>
  <c r="J190" i="28"/>
  <c r="I187" i="28"/>
  <c r="H187" i="28"/>
  <c r="G187" i="28"/>
  <c r="F187" i="28"/>
  <c r="E187" i="28"/>
  <c r="D187" i="28"/>
  <c r="J185" i="28"/>
  <c r="I182" i="28"/>
  <c r="H182" i="28"/>
  <c r="G182" i="28"/>
  <c r="F182" i="28"/>
  <c r="E182" i="28"/>
  <c r="D182" i="28"/>
  <c r="J180" i="28"/>
  <c r="I177" i="28"/>
  <c r="H177" i="28"/>
  <c r="G177" i="28"/>
  <c r="F177" i="28"/>
  <c r="E177" i="28"/>
  <c r="D177" i="28"/>
  <c r="J175" i="28"/>
  <c r="I172" i="28"/>
  <c r="H172" i="28"/>
  <c r="G172" i="28"/>
  <c r="F172" i="28"/>
  <c r="E172" i="28"/>
  <c r="D172" i="28"/>
  <c r="J170" i="28"/>
  <c r="I167" i="28"/>
  <c r="H167" i="28"/>
  <c r="G167" i="28"/>
  <c r="F167" i="28"/>
  <c r="E167" i="28"/>
  <c r="D167" i="28"/>
  <c r="J165" i="28"/>
  <c r="J164" i="28"/>
  <c r="I161" i="28"/>
  <c r="H161" i="28"/>
  <c r="G161" i="28"/>
  <c r="F161" i="28"/>
  <c r="E161" i="28"/>
  <c r="D161" i="28"/>
  <c r="J159" i="28"/>
  <c r="I156" i="28"/>
  <c r="H156" i="28"/>
  <c r="G156" i="28"/>
  <c r="F156" i="28"/>
  <c r="E156" i="28"/>
  <c r="D156" i="28"/>
  <c r="J154" i="28"/>
  <c r="J153" i="28"/>
  <c r="J152" i="28"/>
  <c r="J151" i="28"/>
  <c r="I148" i="28"/>
  <c r="H148" i="28"/>
  <c r="G148" i="28"/>
  <c r="F148" i="28"/>
  <c r="E148" i="28"/>
  <c r="D148" i="28"/>
  <c r="J146" i="28"/>
  <c r="J145" i="28"/>
  <c r="I142" i="28"/>
  <c r="H142" i="28"/>
  <c r="G142" i="28"/>
  <c r="F142" i="28"/>
  <c r="E142" i="28"/>
  <c r="D142" i="28"/>
  <c r="J140" i="28"/>
  <c r="J139" i="28"/>
  <c r="J138" i="28"/>
  <c r="I135" i="28"/>
  <c r="H135" i="28"/>
  <c r="G135" i="28"/>
  <c r="F135" i="28"/>
  <c r="E135" i="28"/>
  <c r="D135" i="28"/>
  <c r="J133" i="28"/>
  <c r="J130" i="28"/>
  <c r="I130" i="28"/>
  <c r="H130" i="28"/>
  <c r="G130" i="28"/>
  <c r="F130" i="28"/>
  <c r="E130" i="28"/>
  <c r="D130" i="28"/>
  <c r="J128" i="28"/>
  <c r="I125" i="28"/>
  <c r="H125" i="28"/>
  <c r="G125" i="28"/>
  <c r="F125" i="28"/>
  <c r="E125" i="28"/>
  <c r="D125" i="28"/>
  <c r="J123" i="28"/>
  <c r="J122" i="28"/>
  <c r="J121" i="28"/>
  <c r="J120" i="28"/>
  <c r="I117" i="28"/>
  <c r="H117" i="28"/>
  <c r="G117" i="28"/>
  <c r="F117" i="28"/>
  <c r="E117" i="28"/>
  <c r="D117" i="28"/>
  <c r="J115" i="28"/>
  <c r="I112" i="28"/>
  <c r="H112" i="28"/>
  <c r="G112" i="28"/>
  <c r="F112" i="28"/>
  <c r="E112" i="28"/>
  <c r="D112" i="28"/>
  <c r="J110" i="28"/>
  <c r="J109" i="28"/>
  <c r="J108" i="28"/>
  <c r="I105" i="28"/>
  <c r="H105" i="28"/>
  <c r="G105" i="28"/>
  <c r="F105" i="28"/>
  <c r="E105" i="28"/>
  <c r="D105" i="28"/>
  <c r="J103" i="28"/>
  <c r="J102" i="28"/>
  <c r="I99" i="28"/>
  <c r="H99" i="28"/>
  <c r="G99" i="28"/>
  <c r="F99" i="28"/>
  <c r="E99" i="28"/>
  <c r="D99" i="28"/>
  <c r="J97" i="28"/>
  <c r="J96" i="28"/>
  <c r="J95" i="28"/>
  <c r="J94" i="28"/>
  <c r="I91" i="28"/>
  <c r="H91" i="28"/>
  <c r="G91" i="28"/>
  <c r="F91" i="28"/>
  <c r="E91" i="28"/>
  <c r="D91" i="28"/>
  <c r="J89" i="28"/>
  <c r="J88" i="28"/>
  <c r="I85" i="28"/>
  <c r="H85" i="28"/>
  <c r="G85" i="28"/>
  <c r="F85" i="28"/>
  <c r="E85" i="28"/>
  <c r="D85" i="28"/>
  <c r="J83" i="28"/>
  <c r="J82" i="28"/>
  <c r="J81" i="28"/>
  <c r="J80" i="28"/>
  <c r="I77" i="28"/>
  <c r="H77" i="28"/>
  <c r="G77" i="28"/>
  <c r="F77" i="28"/>
  <c r="E77" i="28"/>
  <c r="D77" i="28"/>
  <c r="J75" i="28"/>
  <c r="J74" i="28"/>
  <c r="I71" i="28"/>
  <c r="H71" i="28"/>
  <c r="G71" i="28"/>
  <c r="F71" i="28"/>
  <c r="E71" i="28"/>
  <c r="D71" i="28"/>
  <c r="J69" i="28"/>
  <c r="J68" i="28"/>
  <c r="I65" i="28"/>
  <c r="H65" i="28"/>
  <c r="G65" i="28"/>
  <c r="F65" i="28"/>
  <c r="D65" i="28"/>
  <c r="J63" i="28"/>
  <c r="J62" i="28"/>
  <c r="J61" i="28"/>
  <c r="J60" i="28"/>
  <c r="J59" i="28"/>
  <c r="I56" i="28"/>
  <c r="H56" i="28"/>
  <c r="G56" i="28"/>
  <c r="F56" i="28"/>
  <c r="E56" i="28"/>
  <c r="D56" i="28"/>
  <c r="J54" i="28"/>
  <c r="J53" i="28"/>
  <c r="I48" i="28"/>
  <c r="H48" i="28"/>
  <c r="G48" i="28"/>
  <c r="F48" i="28"/>
  <c r="E48" i="28"/>
  <c r="D48" i="28"/>
  <c r="J48" i="28" s="1"/>
  <c r="J46" i="28"/>
  <c r="I43" i="28"/>
  <c r="H43" i="28"/>
  <c r="G43" i="28"/>
  <c r="F43" i="28"/>
  <c r="E43" i="28"/>
  <c r="D43" i="28"/>
  <c r="J41" i="28"/>
  <c r="J40" i="28"/>
  <c r="I36" i="28"/>
  <c r="H36" i="28"/>
  <c r="G36" i="28"/>
  <c r="F36" i="28"/>
  <c r="E36" i="28"/>
  <c r="D36" i="28"/>
  <c r="J34" i="28"/>
  <c r="I30" i="28"/>
  <c r="H30" i="28"/>
  <c r="G30" i="28"/>
  <c r="F30" i="28"/>
  <c r="E30" i="28"/>
  <c r="D30" i="28"/>
  <c r="J28" i="28"/>
  <c r="I24" i="28"/>
  <c r="H24" i="28"/>
  <c r="G24" i="28"/>
  <c r="F24" i="28"/>
  <c r="E24" i="28"/>
  <c r="D24" i="28"/>
  <c r="J22" i="28"/>
  <c r="J21" i="28"/>
  <c r="I18" i="28"/>
  <c r="H18" i="28"/>
  <c r="G18" i="28"/>
  <c r="F18" i="28"/>
  <c r="E18" i="28"/>
  <c r="D18" i="28"/>
  <c r="J16" i="28"/>
  <c r="J15" i="28"/>
  <c r="I12" i="28"/>
  <c r="H12" i="28"/>
  <c r="G12" i="28"/>
  <c r="F12" i="28"/>
  <c r="E12" i="28"/>
  <c r="D12" i="28"/>
  <c r="J10" i="28"/>
  <c r="J9" i="28"/>
  <c r="J322" i="29" l="1"/>
  <c r="J43" i="28"/>
  <c r="J125" i="28"/>
  <c r="J161" i="28"/>
  <c r="J177" i="28"/>
  <c r="J30" i="28"/>
  <c r="J71" i="28"/>
  <c r="J77" i="28"/>
  <c r="J193" i="28"/>
  <c r="J36" i="28"/>
  <c r="J323" i="28"/>
  <c r="J18" i="28"/>
  <c r="J214" i="28"/>
  <c r="J220" i="28"/>
  <c r="J299" i="28"/>
  <c r="J156" i="28"/>
  <c r="J56" i="28"/>
  <c r="J24" i="28"/>
  <c r="J274" i="28"/>
  <c r="J268" i="28"/>
  <c r="J232" i="28"/>
  <c r="J226" i="28"/>
  <c r="J206" i="28"/>
  <c r="J200" i="28"/>
  <c r="J172" i="28"/>
  <c r="J148" i="28"/>
  <c r="J142" i="28"/>
  <c r="J135" i="28"/>
  <c r="J117" i="28"/>
  <c r="J112" i="28"/>
  <c r="J99" i="28"/>
  <c r="J85" i="28"/>
  <c r="F325" i="28"/>
  <c r="G325" i="28"/>
  <c r="H325" i="28"/>
  <c r="I325" i="28"/>
  <c r="J65" i="28"/>
  <c r="E325" i="28"/>
  <c r="J317" i="28"/>
  <c r="J311" i="28"/>
  <c r="J305" i="28"/>
  <c r="J291" i="28"/>
  <c r="J285" i="28"/>
  <c r="J280" i="28"/>
  <c r="J261" i="28"/>
  <c r="J246" i="28"/>
  <c r="J240" i="28"/>
  <c r="J187" i="28"/>
  <c r="J182" i="28"/>
  <c r="J167" i="28"/>
  <c r="J105" i="28"/>
  <c r="J91" i="28"/>
  <c r="D325" i="28"/>
  <c r="J12" i="28"/>
  <c r="I323" i="27"/>
  <c r="H323" i="27"/>
  <c r="G323" i="27"/>
  <c r="F323" i="27"/>
  <c r="E323" i="27"/>
  <c r="J321" i="27"/>
  <c r="J320" i="27"/>
  <c r="D320" i="27"/>
  <c r="D323" i="27" s="1"/>
  <c r="I317" i="27"/>
  <c r="H317" i="27"/>
  <c r="G317" i="27"/>
  <c r="F317" i="27"/>
  <c r="E317" i="27"/>
  <c r="D314" i="27"/>
  <c r="J314" i="27" s="1"/>
  <c r="I311" i="27"/>
  <c r="H311" i="27"/>
  <c r="G311" i="27"/>
  <c r="F311" i="27"/>
  <c r="E311" i="27"/>
  <c r="D308" i="27"/>
  <c r="D311" i="27" s="1"/>
  <c r="I305" i="27"/>
  <c r="H305" i="27"/>
  <c r="G305" i="27"/>
  <c r="F305" i="27"/>
  <c r="E305" i="27"/>
  <c r="D303" i="27"/>
  <c r="J303" i="27" s="1"/>
  <c r="D302" i="27"/>
  <c r="J302" i="27" s="1"/>
  <c r="I299" i="27"/>
  <c r="H299" i="27"/>
  <c r="G299" i="27"/>
  <c r="F299" i="27"/>
  <c r="E299" i="27"/>
  <c r="J297" i="27"/>
  <c r="J296" i="27"/>
  <c r="J295" i="27"/>
  <c r="D294" i="27"/>
  <c r="D299" i="27" s="1"/>
  <c r="I291" i="27"/>
  <c r="H291" i="27"/>
  <c r="G291" i="27"/>
  <c r="F291" i="27"/>
  <c r="E291" i="27"/>
  <c r="D288" i="27"/>
  <c r="D291" i="27" s="1"/>
  <c r="J291" i="27" s="1"/>
  <c r="I285" i="27"/>
  <c r="H285" i="27"/>
  <c r="G285" i="27"/>
  <c r="F285" i="27"/>
  <c r="E285" i="27"/>
  <c r="D283" i="27"/>
  <c r="J283" i="27" s="1"/>
  <c r="I280" i="27"/>
  <c r="H280" i="27"/>
  <c r="G280" i="27"/>
  <c r="F280" i="27"/>
  <c r="E280" i="27"/>
  <c r="J278" i="27"/>
  <c r="D278" i="27"/>
  <c r="D277" i="27"/>
  <c r="D280" i="27" s="1"/>
  <c r="I274" i="27"/>
  <c r="H274" i="27"/>
  <c r="G274" i="27"/>
  <c r="F274" i="27"/>
  <c r="E274" i="27"/>
  <c r="D272" i="27"/>
  <c r="J272" i="27" s="1"/>
  <c r="D271" i="27"/>
  <c r="J271" i="27" s="1"/>
  <c r="I268" i="27"/>
  <c r="H268" i="27"/>
  <c r="G268" i="27"/>
  <c r="F268" i="27"/>
  <c r="E268" i="27"/>
  <c r="J266" i="27"/>
  <c r="D265" i="27"/>
  <c r="J265" i="27" s="1"/>
  <c r="D264" i="27"/>
  <c r="I261" i="27"/>
  <c r="H261" i="27"/>
  <c r="G261" i="27"/>
  <c r="F261" i="27"/>
  <c r="E261" i="27"/>
  <c r="J258" i="27"/>
  <c r="J257" i="27"/>
  <c r="J256" i="27"/>
  <c r="D255" i="27"/>
  <c r="D261" i="27" s="1"/>
  <c r="J261" i="27" s="1"/>
  <c r="I252" i="27"/>
  <c r="H252" i="27"/>
  <c r="G252" i="27"/>
  <c r="F252" i="27"/>
  <c r="E252" i="27"/>
  <c r="J250" i="27"/>
  <c r="D249" i="27"/>
  <c r="D252" i="27" s="1"/>
  <c r="I246" i="27"/>
  <c r="H246" i="27"/>
  <c r="G246" i="27"/>
  <c r="F246" i="27"/>
  <c r="E246" i="27"/>
  <c r="D244" i="27"/>
  <c r="D243" i="27"/>
  <c r="J243" i="27" s="1"/>
  <c r="I240" i="27"/>
  <c r="H240" i="27"/>
  <c r="G240" i="27"/>
  <c r="F240" i="27"/>
  <c r="E240" i="27"/>
  <c r="J238" i="27"/>
  <c r="J237" i="27"/>
  <c r="D236" i="27"/>
  <c r="J236" i="27" s="1"/>
  <c r="D235" i="27"/>
  <c r="I232" i="27"/>
  <c r="H232" i="27"/>
  <c r="G232" i="27"/>
  <c r="F232" i="27"/>
  <c r="E232" i="27"/>
  <c r="D230" i="27"/>
  <c r="J230" i="27" s="1"/>
  <c r="J229" i="27"/>
  <c r="D229" i="27"/>
  <c r="I226" i="27"/>
  <c r="H226" i="27"/>
  <c r="G226" i="27"/>
  <c r="F226" i="27"/>
  <c r="E226" i="27"/>
  <c r="D224" i="27"/>
  <c r="J224" i="27" s="1"/>
  <c r="J223" i="27"/>
  <c r="D223" i="27"/>
  <c r="I220" i="27"/>
  <c r="H220" i="27"/>
  <c r="G220" i="27"/>
  <c r="F220" i="27"/>
  <c r="E220" i="27"/>
  <c r="D220" i="27"/>
  <c r="J218" i="27"/>
  <c r="D217" i="27"/>
  <c r="J217" i="27" s="1"/>
  <c r="I214" i="27"/>
  <c r="H214" i="27"/>
  <c r="G214" i="27"/>
  <c r="F214" i="27"/>
  <c r="E214" i="27"/>
  <c r="J212" i="27"/>
  <c r="J211" i="27"/>
  <c r="J210" i="27"/>
  <c r="D209" i="27"/>
  <c r="D214" i="27" s="1"/>
  <c r="I206" i="27"/>
  <c r="H206" i="27"/>
  <c r="G206" i="27"/>
  <c r="F206" i="27"/>
  <c r="E206" i="27"/>
  <c r="D203" i="27"/>
  <c r="J203" i="27" s="1"/>
  <c r="I200" i="27"/>
  <c r="H200" i="27"/>
  <c r="G200" i="27"/>
  <c r="F200" i="27"/>
  <c r="E200" i="27"/>
  <c r="J198" i="27"/>
  <c r="J197" i="27"/>
  <c r="D196" i="27"/>
  <c r="D200" i="27" s="1"/>
  <c r="J200" i="27" s="1"/>
  <c r="I193" i="27"/>
  <c r="H193" i="27"/>
  <c r="G193" i="27"/>
  <c r="F193" i="27"/>
  <c r="E193" i="27"/>
  <c r="D191" i="27"/>
  <c r="J191" i="27" s="1"/>
  <c r="D190" i="27"/>
  <c r="J190" i="27" s="1"/>
  <c r="I187" i="27"/>
  <c r="H187" i="27"/>
  <c r="G187" i="27"/>
  <c r="F187" i="27"/>
  <c r="E187" i="27"/>
  <c r="D185" i="27"/>
  <c r="D187" i="27" s="1"/>
  <c r="I182" i="27"/>
  <c r="H182" i="27"/>
  <c r="G182" i="27"/>
  <c r="F182" i="27"/>
  <c r="E182" i="27"/>
  <c r="D180" i="27"/>
  <c r="J180" i="27" s="1"/>
  <c r="I177" i="27"/>
  <c r="H177" i="27"/>
  <c r="G177" i="27"/>
  <c r="F177" i="27"/>
  <c r="E177" i="27"/>
  <c r="D175" i="27"/>
  <c r="D177" i="27" s="1"/>
  <c r="J177" i="27" s="1"/>
  <c r="I172" i="27"/>
  <c r="H172" i="27"/>
  <c r="G172" i="27"/>
  <c r="F172" i="27"/>
  <c r="E172" i="27"/>
  <c r="D170" i="27"/>
  <c r="D172" i="27" s="1"/>
  <c r="J172" i="27" s="1"/>
  <c r="I167" i="27"/>
  <c r="H167" i="27"/>
  <c r="G167" i="27"/>
  <c r="F167" i="27"/>
  <c r="E167" i="27"/>
  <c r="D165" i="27"/>
  <c r="J165" i="27" s="1"/>
  <c r="D164" i="27"/>
  <c r="D167" i="27" s="1"/>
  <c r="I161" i="27"/>
  <c r="H161" i="27"/>
  <c r="G161" i="27"/>
  <c r="F161" i="27"/>
  <c r="E161" i="27"/>
  <c r="D159" i="27"/>
  <c r="J159" i="27" s="1"/>
  <c r="I156" i="27"/>
  <c r="H156" i="27"/>
  <c r="G156" i="27"/>
  <c r="F156" i="27"/>
  <c r="E156" i="27"/>
  <c r="J154" i="27"/>
  <c r="D153" i="27"/>
  <c r="J153" i="27" s="1"/>
  <c r="J152" i="27"/>
  <c r="D151" i="27"/>
  <c r="D156" i="27" s="1"/>
  <c r="I148" i="27"/>
  <c r="H148" i="27"/>
  <c r="G148" i="27"/>
  <c r="F148" i="27"/>
  <c r="E148" i="27"/>
  <c r="D146" i="27"/>
  <c r="J146" i="27" s="1"/>
  <c r="D145" i="27"/>
  <c r="D148" i="27" s="1"/>
  <c r="I142" i="27"/>
  <c r="H142" i="27"/>
  <c r="G142" i="27"/>
  <c r="F142" i="27"/>
  <c r="E142" i="27"/>
  <c r="J140" i="27"/>
  <c r="J139" i="27"/>
  <c r="D138" i="27"/>
  <c r="D142" i="27" s="1"/>
  <c r="J142" i="27" s="1"/>
  <c r="I135" i="27"/>
  <c r="H135" i="27"/>
  <c r="G135" i="27"/>
  <c r="F135" i="27"/>
  <c r="E135" i="27"/>
  <c r="D133" i="27"/>
  <c r="J133" i="27" s="1"/>
  <c r="J130" i="27"/>
  <c r="I130" i="27"/>
  <c r="H130" i="27"/>
  <c r="G130" i="27"/>
  <c r="F130" i="27"/>
  <c r="E130" i="27"/>
  <c r="D130" i="27"/>
  <c r="J128" i="27"/>
  <c r="I125" i="27"/>
  <c r="H125" i="27"/>
  <c r="G125" i="27"/>
  <c r="F125" i="27"/>
  <c r="E125" i="27"/>
  <c r="J123" i="27"/>
  <c r="D122" i="27"/>
  <c r="J122" i="27" s="1"/>
  <c r="J121" i="27"/>
  <c r="D120" i="27"/>
  <c r="D125" i="27" s="1"/>
  <c r="J125" i="27" s="1"/>
  <c r="I117" i="27"/>
  <c r="H117" i="27"/>
  <c r="G117" i="27"/>
  <c r="F117" i="27"/>
  <c r="E117" i="27"/>
  <c r="D115" i="27"/>
  <c r="J115" i="27" s="1"/>
  <c r="I112" i="27"/>
  <c r="H112" i="27"/>
  <c r="G112" i="27"/>
  <c r="F112" i="27"/>
  <c r="E112" i="27"/>
  <c r="J110" i="27"/>
  <c r="D109" i="27"/>
  <c r="J109" i="27" s="1"/>
  <c r="D108" i="27"/>
  <c r="D112" i="27" s="1"/>
  <c r="I105" i="27"/>
  <c r="H105" i="27"/>
  <c r="G105" i="27"/>
  <c r="F105" i="27"/>
  <c r="E105" i="27"/>
  <c r="J103" i="27"/>
  <c r="D103" i="27"/>
  <c r="D102" i="27"/>
  <c r="J102" i="27" s="1"/>
  <c r="I99" i="27"/>
  <c r="H99" i="27"/>
  <c r="G99" i="27"/>
  <c r="F99" i="27"/>
  <c r="E99" i="27"/>
  <c r="J97" i="27"/>
  <c r="D96" i="27"/>
  <c r="J96" i="27" s="1"/>
  <c r="J95" i="27"/>
  <c r="D94" i="27"/>
  <c r="J94" i="27" s="1"/>
  <c r="I91" i="27"/>
  <c r="H91" i="27"/>
  <c r="G91" i="27"/>
  <c r="F91" i="27"/>
  <c r="E91" i="27"/>
  <c r="D89" i="27"/>
  <c r="J89" i="27" s="1"/>
  <c r="D88" i="27"/>
  <c r="D91" i="27" s="1"/>
  <c r="J91" i="27" s="1"/>
  <c r="I85" i="27"/>
  <c r="H85" i="27"/>
  <c r="G85" i="27"/>
  <c r="F85" i="27"/>
  <c r="E85" i="27"/>
  <c r="J83" i="27"/>
  <c r="J82" i="27"/>
  <c r="J81" i="27"/>
  <c r="D81" i="27"/>
  <c r="D80" i="27"/>
  <c r="D85" i="27" s="1"/>
  <c r="I77" i="27"/>
  <c r="H77" i="27"/>
  <c r="G77" i="27"/>
  <c r="F77" i="27"/>
  <c r="E77" i="27"/>
  <c r="J75" i="27"/>
  <c r="D75" i="27"/>
  <c r="D74" i="27"/>
  <c r="J74" i="27" s="1"/>
  <c r="I71" i="27"/>
  <c r="H71" i="27"/>
  <c r="G71" i="27"/>
  <c r="F71" i="27"/>
  <c r="E71" i="27"/>
  <c r="D69" i="27"/>
  <c r="J69" i="27" s="1"/>
  <c r="D68" i="27"/>
  <c r="J68" i="27" s="1"/>
  <c r="I65" i="27"/>
  <c r="H65" i="27"/>
  <c r="G65" i="27"/>
  <c r="F65" i="27"/>
  <c r="E65" i="27"/>
  <c r="D63" i="27"/>
  <c r="J63" i="27" s="1"/>
  <c r="J62" i="27"/>
  <c r="D61" i="27"/>
  <c r="J61" i="27" s="1"/>
  <c r="J60" i="27"/>
  <c r="J59" i="27"/>
  <c r="D59" i="27"/>
  <c r="I56" i="27"/>
  <c r="H56" i="27"/>
  <c r="G56" i="27"/>
  <c r="F56" i="27"/>
  <c r="E56" i="27"/>
  <c r="D56" i="27"/>
  <c r="J54" i="27"/>
  <c r="D53" i="27"/>
  <c r="J53" i="27" s="1"/>
  <c r="I48" i="27"/>
  <c r="H48" i="27"/>
  <c r="G48" i="27"/>
  <c r="F48" i="27"/>
  <c r="E48" i="27"/>
  <c r="D46" i="27"/>
  <c r="D48" i="27" s="1"/>
  <c r="I43" i="27"/>
  <c r="H43" i="27"/>
  <c r="G43" i="27"/>
  <c r="F43" i="27"/>
  <c r="E43" i="27"/>
  <c r="J41" i="27"/>
  <c r="D40" i="27"/>
  <c r="D43" i="27" s="1"/>
  <c r="J43" i="27" s="1"/>
  <c r="I36" i="27"/>
  <c r="H36" i="27"/>
  <c r="G36" i="27"/>
  <c r="F36" i="27"/>
  <c r="E36" i="27"/>
  <c r="D36" i="27"/>
  <c r="J34" i="27"/>
  <c r="I30" i="27"/>
  <c r="H30" i="27"/>
  <c r="G30" i="27"/>
  <c r="F30" i="27"/>
  <c r="E30" i="27"/>
  <c r="D28" i="27"/>
  <c r="D30" i="27" s="1"/>
  <c r="I24" i="27"/>
  <c r="H24" i="27"/>
  <c r="G24" i="27"/>
  <c r="F24" i="27"/>
  <c r="E24" i="27"/>
  <c r="J22" i="27"/>
  <c r="J21" i="27"/>
  <c r="D21" i="27"/>
  <c r="D24" i="27" s="1"/>
  <c r="I18" i="27"/>
  <c r="H18" i="27"/>
  <c r="G18" i="27"/>
  <c r="F18" i="27"/>
  <c r="E18" i="27"/>
  <c r="D16" i="27"/>
  <c r="J16" i="27" s="1"/>
  <c r="D15" i="27"/>
  <c r="J15" i="27" s="1"/>
  <c r="I12" i="27"/>
  <c r="H12" i="27"/>
  <c r="G12" i="27"/>
  <c r="F12" i="27"/>
  <c r="F325" i="27" s="1"/>
  <c r="E12" i="27"/>
  <c r="D10" i="27"/>
  <c r="J10" i="27" s="1"/>
  <c r="D9" i="27"/>
  <c r="J9" i="27" s="1"/>
  <c r="J48" i="27" l="1"/>
  <c r="J148" i="27"/>
  <c r="J167" i="27"/>
  <c r="J252" i="27"/>
  <c r="J255" i="27"/>
  <c r="J112" i="27"/>
  <c r="J164" i="27"/>
  <c r="J311" i="27"/>
  <c r="G325" i="27"/>
  <c r="J40" i="27"/>
  <c r="J56" i="27"/>
  <c r="J138" i="27"/>
  <c r="J156" i="27"/>
  <c r="J220" i="27"/>
  <c r="D317" i="27"/>
  <c r="J317" i="27" s="1"/>
  <c r="H325" i="27"/>
  <c r="J85" i="27"/>
  <c r="D135" i="27"/>
  <c r="J135" i="27" s="1"/>
  <c r="J145" i="27"/>
  <c r="J170" i="27"/>
  <c r="J175" i="27"/>
  <c r="D268" i="27"/>
  <c r="J280" i="27"/>
  <c r="J299" i="27"/>
  <c r="E325" i="27"/>
  <c r="I325" i="27"/>
  <c r="J24" i="27"/>
  <c r="J30" i="27"/>
  <c r="J36" i="27"/>
  <c r="D65" i="27"/>
  <c r="J65" i="27" s="1"/>
  <c r="D161" i="27"/>
  <c r="J161" i="27" s="1"/>
  <c r="J187" i="27"/>
  <c r="D226" i="27"/>
  <c r="J226" i="27" s="1"/>
  <c r="D232" i="27"/>
  <c r="J232" i="27" s="1"/>
  <c r="D240" i="27"/>
  <c r="J240" i="27" s="1"/>
  <c r="D246" i="27"/>
  <c r="J246" i="27" s="1"/>
  <c r="J264" i="27"/>
  <c r="J268" i="27" s="1"/>
  <c r="J323" i="27"/>
  <c r="J325" i="28"/>
  <c r="J46" i="27"/>
  <c r="D77" i="27"/>
  <c r="J77" i="27" s="1"/>
  <c r="J80" i="27"/>
  <c r="D105" i="27"/>
  <c r="J105" i="27" s="1"/>
  <c r="J108" i="27"/>
  <c r="J28" i="27"/>
  <c r="D71" i="27"/>
  <c r="J71" i="27" s="1"/>
  <c r="J88" i="27"/>
  <c r="D99" i="27"/>
  <c r="J99" i="27" s="1"/>
  <c r="D117" i="27"/>
  <c r="J117" i="27" s="1"/>
  <c r="J120" i="27"/>
  <c r="J151" i="27"/>
  <c r="D182" i="27"/>
  <c r="J182" i="27" s="1"/>
  <c r="J185" i="27"/>
  <c r="D193" i="27"/>
  <c r="J193" i="27" s="1"/>
  <c r="J196" i="27"/>
  <c r="D206" i="27"/>
  <c r="J206" i="27" s="1"/>
  <c r="J209" i="27"/>
  <c r="J214" i="27" s="1"/>
  <c r="J235" i="27"/>
  <c r="D274" i="27"/>
  <c r="J274" i="27" s="1"/>
  <c r="J277" i="27"/>
  <c r="D285" i="27"/>
  <c r="J285" i="27" s="1"/>
  <c r="J288" i="27"/>
  <c r="D305" i="27"/>
  <c r="J305" i="27" s="1"/>
  <c r="J308" i="27"/>
  <c r="D18" i="27"/>
  <c r="J18" i="27" s="1"/>
  <c r="D12" i="27"/>
  <c r="J12" i="27" s="1"/>
  <c r="J249" i="27"/>
  <c r="J294" i="27"/>
  <c r="D325" i="27" l="1"/>
  <c r="J325" i="27" s="1"/>
  <c r="I323" i="26"/>
  <c r="H323" i="26"/>
  <c r="G323" i="26"/>
  <c r="F323" i="26"/>
  <c r="E323" i="26"/>
  <c r="J321" i="26"/>
  <c r="J320" i="26"/>
  <c r="D320" i="26"/>
  <c r="D323" i="26" s="1"/>
  <c r="I317" i="26"/>
  <c r="H317" i="26"/>
  <c r="G317" i="26"/>
  <c r="F317" i="26"/>
  <c r="E317" i="26"/>
  <c r="J314" i="26"/>
  <c r="D314" i="26"/>
  <c r="D317" i="26" s="1"/>
  <c r="I311" i="26"/>
  <c r="H311" i="26"/>
  <c r="G311" i="26"/>
  <c r="F311" i="26"/>
  <c r="E311" i="26"/>
  <c r="D308" i="26"/>
  <c r="D311" i="26" s="1"/>
  <c r="I305" i="26"/>
  <c r="H305" i="26"/>
  <c r="G305" i="26"/>
  <c r="F305" i="26"/>
  <c r="E305" i="26"/>
  <c r="D303" i="26"/>
  <c r="J303" i="26" s="1"/>
  <c r="D302" i="26"/>
  <c r="I299" i="26"/>
  <c r="H299" i="26"/>
  <c r="G299" i="26"/>
  <c r="F299" i="26"/>
  <c r="E299" i="26"/>
  <c r="D299" i="26"/>
  <c r="J299" i="26" s="1"/>
  <c r="J297" i="26"/>
  <c r="J296" i="26"/>
  <c r="J295" i="26"/>
  <c r="J294" i="26"/>
  <c r="D294" i="26"/>
  <c r="I291" i="26"/>
  <c r="H291" i="26"/>
  <c r="G291" i="26"/>
  <c r="F291" i="26"/>
  <c r="E291" i="26"/>
  <c r="D288" i="26"/>
  <c r="D291" i="26" s="1"/>
  <c r="I285" i="26"/>
  <c r="H285" i="26"/>
  <c r="G285" i="26"/>
  <c r="F285" i="26"/>
  <c r="E285" i="26"/>
  <c r="D283" i="26"/>
  <c r="J283" i="26" s="1"/>
  <c r="I280" i="26"/>
  <c r="H280" i="26"/>
  <c r="G280" i="26"/>
  <c r="F280" i="26"/>
  <c r="E280" i="26"/>
  <c r="D278" i="26"/>
  <c r="J277" i="26"/>
  <c r="D277" i="26"/>
  <c r="I274" i="26"/>
  <c r="H274" i="26"/>
  <c r="G274" i="26"/>
  <c r="F274" i="26"/>
  <c r="E274" i="26"/>
  <c r="D272" i="26"/>
  <c r="J272" i="26" s="1"/>
  <c r="D271" i="26"/>
  <c r="J271" i="26" s="1"/>
  <c r="I268" i="26"/>
  <c r="H268" i="26"/>
  <c r="G268" i="26"/>
  <c r="F268" i="26"/>
  <c r="E268" i="26"/>
  <c r="J266" i="26"/>
  <c r="D265" i="26"/>
  <c r="J265" i="26" s="1"/>
  <c r="D264" i="26"/>
  <c r="I261" i="26"/>
  <c r="H261" i="26"/>
  <c r="G261" i="26"/>
  <c r="F261" i="26"/>
  <c r="E261" i="26"/>
  <c r="J258" i="26"/>
  <c r="J257" i="26"/>
  <c r="J256" i="26"/>
  <c r="D255" i="26"/>
  <c r="D261" i="26" s="1"/>
  <c r="J261" i="26" s="1"/>
  <c r="I252" i="26"/>
  <c r="H252" i="26"/>
  <c r="G252" i="26"/>
  <c r="F252" i="26"/>
  <c r="E252" i="26"/>
  <c r="J250" i="26"/>
  <c r="D249" i="26"/>
  <c r="D252" i="26" s="1"/>
  <c r="I246" i="26"/>
  <c r="H246" i="26"/>
  <c r="G246" i="26"/>
  <c r="F246" i="26"/>
  <c r="E246" i="26"/>
  <c r="D244" i="26"/>
  <c r="D243" i="26"/>
  <c r="I240" i="26"/>
  <c r="H240" i="26"/>
  <c r="G240" i="26"/>
  <c r="F240" i="26"/>
  <c r="E240" i="26"/>
  <c r="J238" i="26"/>
  <c r="J237" i="26"/>
  <c r="J236" i="26"/>
  <c r="D236" i="26"/>
  <c r="D235" i="26"/>
  <c r="J235" i="26" s="1"/>
  <c r="I232" i="26"/>
  <c r="H232" i="26"/>
  <c r="G232" i="26"/>
  <c r="F232" i="26"/>
  <c r="E232" i="26"/>
  <c r="D230" i="26"/>
  <c r="J230" i="26" s="1"/>
  <c r="D229" i="26"/>
  <c r="I226" i="26"/>
  <c r="H226" i="26"/>
  <c r="G226" i="26"/>
  <c r="F226" i="26"/>
  <c r="E226" i="26"/>
  <c r="D226" i="26"/>
  <c r="J224" i="26"/>
  <c r="D224" i="26"/>
  <c r="D223" i="26"/>
  <c r="J223" i="26" s="1"/>
  <c r="I220" i="26"/>
  <c r="H220" i="26"/>
  <c r="G220" i="26"/>
  <c r="F220" i="26"/>
  <c r="E220" i="26"/>
  <c r="J218" i="26"/>
  <c r="D217" i="26"/>
  <c r="J217" i="26" s="1"/>
  <c r="I214" i="26"/>
  <c r="H214" i="26"/>
  <c r="G214" i="26"/>
  <c r="F214" i="26"/>
  <c r="E214" i="26"/>
  <c r="J212" i="26"/>
  <c r="J211" i="26"/>
  <c r="J210" i="26"/>
  <c r="D209" i="26"/>
  <c r="D214" i="26" s="1"/>
  <c r="I206" i="26"/>
  <c r="H206" i="26"/>
  <c r="G206" i="26"/>
  <c r="F206" i="26"/>
  <c r="E206" i="26"/>
  <c r="D203" i="26"/>
  <c r="J203" i="26" s="1"/>
  <c r="I200" i="26"/>
  <c r="H200" i="26"/>
  <c r="G200" i="26"/>
  <c r="F200" i="26"/>
  <c r="E200" i="26"/>
  <c r="J198" i="26"/>
  <c r="J197" i="26"/>
  <c r="D196" i="26"/>
  <c r="J196" i="26" s="1"/>
  <c r="I193" i="26"/>
  <c r="H193" i="26"/>
  <c r="G193" i="26"/>
  <c r="F193" i="26"/>
  <c r="E193" i="26"/>
  <c r="D191" i="26"/>
  <c r="J191" i="26" s="1"/>
  <c r="D190" i="26"/>
  <c r="J190" i="26" s="1"/>
  <c r="I187" i="26"/>
  <c r="H187" i="26"/>
  <c r="G187" i="26"/>
  <c r="F187" i="26"/>
  <c r="E187" i="26"/>
  <c r="D185" i="26"/>
  <c r="D187" i="26" s="1"/>
  <c r="I182" i="26"/>
  <c r="H182" i="26"/>
  <c r="G182" i="26"/>
  <c r="F182" i="26"/>
  <c r="E182" i="26"/>
  <c r="D180" i="26"/>
  <c r="J180" i="26" s="1"/>
  <c r="I177" i="26"/>
  <c r="H177" i="26"/>
  <c r="G177" i="26"/>
  <c r="F177" i="26"/>
  <c r="E177" i="26"/>
  <c r="D175" i="26"/>
  <c r="D177" i="26" s="1"/>
  <c r="I172" i="26"/>
  <c r="H172" i="26"/>
  <c r="G172" i="26"/>
  <c r="F172" i="26"/>
  <c r="E172" i="26"/>
  <c r="D170" i="26"/>
  <c r="J170" i="26" s="1"/>
  <c r="I167" i="26"/>
  <c r="H167" i="26"/>
  <c r="G167" i="26"/>
  <c r="F167" i="26"/>
  <c r="E167" i="26"/>
  <c r="D165" i="26"/>
  <c r="J165" i="26" s="1"/>
  <c r="D164" i="26"/>
  <c r="I161" i="26"/>
  <c r="H161" i="26"/>
  <c r="G161" i="26"/>
  <c r="F161" i="26"/>
  <c r="E161" i="26"/>
  <c r="D159" i="26"/>
  <c r="D161" i="26" s="1"/>
  <c r="I156" i="26"/>
  <c r="H156" i="26"/>
  <c r="G156" i="26"/>
  <c r="F156" i="26"/>
  <c r="E156" i="26"/>
  <c r="J154" i="26"/>
  <c r="D153" i="26"/>
  <c r="J153" i="26" s="1"/>
  <c r="J152" i="26"/>
  <c r="D151" i="26"/>
  <c r="J151" i="26" s="1"/>
  <c r="I148" i="26"/>
  <c r="H148" i="26"/>
  <c r="G148" i="26"/>
  <c r="F148" i="26"/>
  <c r="E148" i="26"/>
  <c r="D146" i="26"/>
  <c r="J146" i="26" s="1"/>
  <c r="D145" i="26"/>
  <c r="J145" i="26" s="1"/>
  <c r="I142" i="26"/>
  <c r="H142" i="26"/>
  <c r="G142" i="26"/>
  <c r="F142" i="26"/>
  <c r="E142" i="26"/>
  <c r="J140" i="26"/>
  <c r="J139" i="26"/>
  <c r="D138" i="26"/>
  <c r="D142" i="26" s="1"/>
  <c r="I135" i="26"/>
  <c r="H135" i="26"/>
  <c r="G135" i="26"/>
  <c r="F135" i="26"/>
  <c r="E135" i="26"/>
  <c r="D133" i="26"/>
  <c r="D135" i="26" s="1"/>
  <c r="I130" i="26"/>
  <c r="H130" i="26"/>
  <c r="G130" i="26"/>
  <c r="F130" i="26"/>
  <c r="E130" i="26"/>
  <c r="D130" i="26"/>
  <c r="J128" i="26"/>
  <c r="J130" i="26" s="1"/>
  <c r="I125" i="26"/>
  <c r="H125" i="26"/>
  <c r="G125" i="26"/>
  <c r="F125" i="26"/>
  <c r="E125" i="26"/>
  <c r="J123" i="26"/>
  <c r="D122" i="26"/>
  <c r="J122" i="26" s="1"/>
  <c r="J121" i="26"/>
  <c r="D120" i="26"/>
  <c r="J120" i="26" s="1"/>
  <c r="I117" i="26"/>
  <c r="H117" i="26"/>
  <c r="G117" i="26"/>
  <c r="F117" i="26"/>
  <c r="E117" i="26"/>
  <c r="D117" i="26"/>
  <c r="J117" i="26" s="1"/>
  <c r="D115" i="26"/>
  <c r="J115" i="26" s="1"/>
  <c r="I112" i="26"/>
  <c r="H112" i="26"/>
  <c r="G112" i="26"/>
  <c r="F112" i="26"/>
  <c r="E112" i="26"/>
  <c r="J110" i="26"/>
  <c r="J109" i="26"/>
  <c r="D109" i="26"/>
  <c r="D108" i="26"/>
  <c r="J108" i="26" s="1"/>
  <c r="I105" i="26"/>
  <c r="H105" i="26"/>
  <c r="G105" i="26"/>
  <c r="F105" i="26"/>
  <c r="E105" i="26"/>
  <c r="D103" i="26"/>
  <c r="D105" i="26" s="1"/>
  <c r="J105" i="26" s="1"/>
  <c r="D102" i="26"/>
  <c r="J102" i="26" s="1"/>
  <c r="I99" i="26"/>
  <c r="H99" i="26"/>
  <c r="G99" i="26"/>
  <c r="F99" i="26"/>
  <c r="E99" i="26"/>
  <c r="J97" i="26"/>
  <c r="D96" i="26"/>
  <c r="J96" i="26" s="1"/>
  <c r="J95" i="26"/>
  <c r="D94" i="26"/>
  <c r="J94" i="26" s="1"/>
  <c r="I91" i="26"/>
  <c r="H91" i="26"/>
  <c r="G91" i="26"/>
  <c r="F91" i="26"/>
  <c r="E91" i="26"/>
  <c r="D89" i="26"/>
  <c r="D91" i="26" s="1"/>
  <c r="J88" i="26"/>
  <c r="D88" i="26"/>
  <c r="I85" i="26"/>
  <c r="H85" i="26"/>
  <c r="G85" i="26"/>
  <c r="F85" i="26"/>
  <c r="E85" i="26"/>
  <c r="J83" i="26"/>
  <c r="J82" i="26"/>
  <c r="D81" i="26"/>
  <c r="J81" i="26" s="1"/>
  <c r="D80" i="26"/>
  <c r="J80" i="26" s="1"/>
  <c r="I77" i="26"/>
  <c r="H77" i="26"/>
  <c r="G77" i="26"/>
  <c r="F77" i="26"/>
  <c r="E77" i="26"/>
  <c r="D75" i="26"/>
  <c r="D74" i="26"/>
  <c r="J74" i="26" s="1"/>
  <c r="I71" i="26"/>
  <c r="H71" i="26"/>
  <c r="G71" i="26"/>
  <c r="F71" i="26"/>
  <c r="E71" i="26"/>
  <c r="D69" i="26"/>
  <c r="J69" i="26" s="1"/>
  <c r="D68" i="26"/>
  <c r="J68" i="26" s="1"/>
  <c r="I65" i="26"/>
  <c r="H65" i="26"/>
  <c r="G65" i="26"/>
  <c r="F65" i="26"/>
  <c r="E65" i="26"/>
  <c r="D63" i="26"/>
  <c r="J63" i="26" s="1"/>
  <c r="J62" i="26"/>
  <c r="D61" i="26"/>
  <c r="J61" i="26" s="1"/>
  <c r="J60" i="26"/>
  <c r="D59" i="26"/>
  <c r="I56" i="26"/>
  <c r="H56" i="26"/>
  <c r="G56" i="26"/>
  <c r="F56" i="26"/>
  <c r="E56" i="26"/>
  <c r="J54" i="26"/>
  <c r="D53" i="26"/>
  <c r="J53" i="26" s="1"/>
  <c r="I48" i="26"/>
  <c r="H48" i="26"/>
  <c r="G48" i="26"/>
  <c r="F48" i="26"/>
  <c r="E48" i="26"/>
  <c r="D46" i="26"/>
  <c r="D48" i="26" s="1"/>
  <c r="I43" i="26"/>
  <c r="H43" i="26"/>
  <c r="G43" i="26"/>
  <c r="F43" i="26"/>
  <c r="E43" i="26"/>
  <c r="J41" i="26"/>
  <c r="D40" i="26"/>
  <c r="D43" i="26" s="1"/>
  <c r="J43" i="26" s="1"/>
  <c r="I36" i="26"/>
  <c r="H36" i="26"/>
  <c r="G36" i="26"/>
  <c r="F36" i="26"/>
  <c r="E36" i="26"/>
  <c r="D36" i="26"/>
  <c r="J34" i="26"/>
  <c r="I30" i="26"/>
  <c r="H30" i="26"/>
  <c r="G30" i="26"/>
  <c r="F30" i="26"/>
  <c r="E30" i="26"/>
  <c r="D28" i="26"/>
  <c r="D30" i="26" s="1"/>
  <c r="I24" i="26"/>
  <c r="H24" i="26"/>
  <c r="G24" i="26"/>
  <c r="F24" i="26"/>
  <c r="E24" i="26"/>
  <c r="J22" i="26"/>
  <c r="D21" i="26"/>
  <c r="D24" i="26" s="1"/>
  <c r="J24" i="26" s="1"/>
  <c r="I18" i="26"/>
  <c r="H18" i="26"/>
  <c r="G18" i="26"/>
  <c r="F18" i="26"/>
  <c r="E18" i="26"/>
  <c r="D16" i="26"/>
  <c r="J16" i="26" s="1"/>
  <c r="D15" i="26"/>
  <c r="J15" i="26" s="1"/>
  <c r="I12" i="26"/>
  <c r="H12" i="26"/>
  <c r="G12" i="26"/>
  <c r="F12" i="26"/>
  <c r="E12" i="26"/>
  <c r="D10" i="26"/>
  <c r="D9" i="26"/>
  <c r="J9" i="26" s="1"/>
  <c r="D99" i="26" l="1"/>
  <c r="J99" i="26" s="1"/>
  <c r="J142" i="26"/>
  <c r="J175" i="26"/>
  <c r="J187" i="26"/>
  <c r="J209" i="26"/>
  <c r="J214" i="26" s="1"/>
  <c r="D280" i="26"/>
  <c r="J252" i="26"/>
  <c r="J255" i="26"/>
  <c r="D305" i="26"/>
  <c r="J30" i="26"/>
  <c r="J135" i="26"/>
  <c r="D167" i="26"/>
  <c r="D246" i="26"/>
  <c r="J323" i="26"/>
  <c r="F325" i="26"/>
  <c r="J138" i="26"/>
  <c r="D156" i="26"/>
  <c r="J156" i="26" s="1"/>
  <c r="D172" i="26"/>
  <c r="J172" i="26" s="1"/>
  <c r="D206" i="26"/>
  <c r="J206" i="26" s="1"/>
  <c r="J246" i="26"/>
  <c r="D274" i="26"/>
  <c r="J274" i="26" s="1"/>
  <c r="J317" i="26"/>
  <c r="J21" i="26"/>
  <c r="D65" i="26"/>
  <c r="J65" i="26" s="1"/>
  <c r="J91" i="26"/>
  <c r="J133" i="26"/>
  <c r="J167" i="26"/>
  <c r="J291" i="26"/>
  <c r="J311" i="26"/>
  <c r="D12" i="26"/>
  <c r="J12" i="26" s="1"/>
  <c r="H325" i="26"/>
  <c r="J28" i="26"/>
  <c r="J36" i="26"/>
  <c r="J59" i="26"/>
  <c r="D71" i="26"/>
  <c r="J71" i="26" s="1"/>
  <c r="D77" i="26"/>
  <c r="J77" i="26" s="1"/>
  <c r="E325" i="26"/>
  <c r="D125" i="26"/>
  <c r="J125" i="26" s="1"/>
  <c r="J185" i="26"/>
  <c r="D268" i="26"/>
  <c r="J305" i="26"/>
  <c r="G325" i="26"/>
  <c r="D85" i="26"/>
  <c r="J85" i="26" s="1"/>
  <c r="J226" i="26"/>
  <c r="J280" i="26"/>
  <c r="I325" i="26"/>
  <c r="J48" i="26"/>
  <c r="D56" i="26"/>
  <c r="J56" i="26" s="1"/>
  <c r="J161" i="26"/>
  <c r="J177" i="26"/>
  <c r="D182" i="26"/>
  <c r="J182" i="26" s="1"/>
  <c r="D220" i="26"/>
  <c r="J220" i="26" s="1"/>
  <c r="D232" i="26"/>
  <c r="J232" i="26" s="1"/>
  <c r="D240" i="26"/>
  <c r="J240" i="26" s="1"/>
  <c r="J40" i="26"/>
  <c r="J264" i="26"/>
  <c r="J268" i="26" s="1"/>
  <c r="J10" i="26"/>
  <c r="J164" i="26"/>
  <c r="D18" i="26"/>
  <c r="J18" i="26" s="1"/>
  <c r="D112" i="26"/>
  <c r="J112" i="26" s="1"/>
  <c r="D200" i="26"/>
  <c r="J200" i="26" s="1"/>
  <c r="J229" i="26"/>
  <c r="J243" i="26"/>
  <c r="J302" i="26"/>
  <c r="J75" i="26"/>
  <c r="J89" i="26"/>
  <c r="J103" i="26"/>
  <c r="J278" i="26"/>
  <c r="J46" i="26"/>
  <c r="J249" i="26"/>
  <c r="D148" i="26"/>
  <c r="J148" i="26" s="1"/>
  <c r="D193" i="26"/>
  <c r="J193" i="26" s="1"/>
  <c r="D285" i="26"/>
  <c r="J285" i="26" s="1"/>
  <c r="J288" i="26"/>
  <c r="J308" i="26"/>
  <c r="J159" i="26"/>
  <c r="D325" i="26" l="1"/>
  <c r="J325" i="26" s="1"/>
  <c r="I323" i="25"/>
  <c r="H323" i="25"/>
  <c r="G323" i="25"/>
  <c r="F323" i="25"/>
  <c r="E323" i="25"/>
  <c r="D323" i="25"/>
  <c r="J321" i="25"/>
  <c r="J320" i="25"/>
  <c r="I317" i="25"/>
  <c r="H317" i="25"/>
  <c r="G317" i="25"/>
  <c r="F317" i="25"/>
  <c r="E317" i="25"/>
  <c r="D314" i="25"/>
  <c r="D317" i="25" s="1"/>
  <c r="I311" i="25"/>
  <c r="H311" i="25"/>
  <c r="G311" i="25"/>
  <c r="F311" i="25"/>
  <c r="E311" i="25"/>
  <c r="D308" i="25"/>
  <c r="J308" i="25" s="1"/>
  <c r="I305" i="25"/>
  <c r="H305" i="25"/>
  <c r="G305" i="25"/>
  <c r="F305" i="25"/>
  <c r="E305" i="25"/>
  <c r="D303" i="25"/>
  <c r="J303" i="25" s="1"/>
  <c r="D302" i="25"/>
  <c r="J302" i="25" s="1"/>
  <c r="I299" i="25"/>
  <c r="H299" i="25"/>
  <c r="G299" i="25"/>
  <c r="F299" i="25"/>
  <c r="E299" i="25"/>
  <c r="D297" i="25"/>
  <c r="J297" i="25" s="1"/>
  <c r="D296" i="25"/>
  <c r="J296" i="25" s="1"/>
  <c r="D295" i="25"/>
  <c r="J295" i="25" s="1"/>
  <c r="D294" i="25"/>
  <c r="J294" i="25" s="1"/>
  <c r="I291" i="25"/>
  <c r="H291" i="25"/>
  <c r="G291" i="25"/>
  <c r="F291" i="25"/>
  <c r="E291" i="25"/>
  <c r="D288" i="25"/>
  <c r="D291" i="25" s="1"/>
  <c r="I285" i="25"/>
  <c r="H285" i="25"/>
  <c r="G285" i="25"/>
  <c r="F285" i="25"/>
  <c r="E285" i="25"/>
  <c r="D283" i="25"/>
  <c r="D285" i="25" s="1"/>
  <c r="I280" i="25"/>
  <c r="H280" i="25"/>
  <c r="G280" i="25"/>
  <c r="F280" i="25"/>
  <c r="E280" i="25"/>
  <c r="D278" i="25"/>
  <c r="D280" i="25" s="1"/>
  <c r="J280" i="25" s="1"/>
  <c r="D277" i="25"/>
  <c r="J277" i="25" s="1"/>
  <c r="I274" i="25"/>
  <c r="H274" i="25"/>
  <c r="G274" i="25"/>
  <c r="F274" i="25"/>
  <c r="E274" i="25"/>
  <c r="D272" i="25"/>
  <c r="J272" i="25" s="1"/>
  <c r="D271" i="25"/>
  <c r="J271" i="25" s="1"/>
  <c r="I268" i="25"/>
  <c r="H268" i="25"/>
  <c r="G268" i="25"/>
  <c r="F268" i="25"/>
  <c r="E268" i="25"/>
  <c r="D266" i="25"/>
  <c r="J266" i="25" s="1"/>
  <c r="D265" i="25"/>
  <c r="J265" i="25" s="1"/>
  <c r="D264" i="25"/>
  <c r="I261" i="25"/>
  <c r="H261" i="25"/>
  <c r="G261" i="25"/>
  <c r="F261" i="25"/>
  <c r="E261" i="25"/>
  <c r="J258" i="25"/>
  <c r="D257" i="25"/>
  <c r="J257" i="25" s="1"/>
  <c r="D256" i="25"/>
  <c r="J256" i="25" s="1"/>
  <c r="J255" i="25"/>
  <c r="D255" i="25"/>
  <c r="I252" i="25"/>
  <c r="H252" i="25"/>
  <c r="G252" i="25"/>
  <c r="F252" i="25"/>
  <c r="E252" i="25"/>
  <c r="D250" i="25"/>
  <c r="J250" i="25" s="1"/>
  <c r="D249" i="25"/>
  <c r="J249" i="25" s="1"/>
  <c r="I246" i="25"/>
  <c r="H246" i="25"/>
  <c r="G246" i="25"/>
  <c r="F246" i="25"/>
  <c r="E246" i="25"/>
  <c r="D244" i="25"/>
  <c r="D243" i="25"/>
  <c r="J243" i="25" s="1"/>
  <c r="I240" i="25"/>
  <c r="H240" i="25"/>
  <c r="G240" i="25"/>
  <c r="F240" i="25"/>
  <c r="E240" i="25"/>
  <c r="J238" i="25"/>
  <c r="D237" i="25"/>
  <c r="J237" i="25" s="1"/>
  <c r="D236" i="25"/>
  <c r="J236" i="25" s="1"/>
  <c r="D235" i="25"/>
  <c r="I232" i="25"/>
  <c r="H232" i="25"/>
  <c r="G232" i="25"/>
  <c r="F232" i="25"/>
  <c r="E232" i="25"/>
  <c r="D230" i="25"/>
  <c r="J230" i="25" s="1"/>
  <c r="D229" i="25"/>
  <c r="J229" i="25" s="1"/>
  <c r="I226" i="25"/>
  <c r="H226" i="25"/>
  <c r="G226" i="25"/>
  <c r="F226" i="25"/>
  <c r="E226" i="25"/>
  <c r="D224" i="25"/>
  <c r="D223" i="25"/>
  <c r="J223" i="25" s="1"/>
  <c r="I220" i="25"/>
  <c r="H220" i="25"/>
  <c r="G220" i="25"/>
  <c r="F220" i="25"/>
  <c r="E220" i="25"/>
  <c r="J218" i="25"/>
  <c r="D217" i="25"/>
  <c r="D220" i="25" s="1"/>
  <c r="J220" i="25" s="1"/>
  <c r="I214" i="25"/>
  <c r="H214" i="25"/>
  <c r="G214" i="25"/>
  <c r="F214" i="25"/>
  <c r="E214" i="25"/>
  <c r="D212" i="25"/>
  <c r="J212" i="25" s="1"/>
  <c r="D211" i="25"/>
  <c r="J211" i="25" s="1"/>
  <c r="D210" i="25"/>
  <c r="J210" i="25" s="1"/>
  <c r="D209" i="25"/>
  <c r="J209" i="25" s="1"/>
  <c r="I206" i="25"/>
  <c r="H206" i="25"/>
  <c r="G206" i="25"/>
  <c r="F206" i="25"/>
  <c r="E206" i="25"/>
  <c r="D203" i="25"/>
  <c r="D206" i="25" s="1"/>
  <c r="I200" i="25"/>
  <c r="H200" i="25"/>
  <c r="G200" i="25"/>
  <c r="F200" i="25"/>
  <c r="E200" i="25"/>
  <c r="D198" i="25"/>
  <c r="J198" i="25" s="1"/>
  <c r="J197" i="25"/>
  <c r="D196" i="25"/>
  <c r="I193" i="25"/>
  <c r="H193" i="25"/>
  <c r="G193" i="25"/>
  <c r="F193" i="25"/>
  <c r="E193" i="25"/>
  <c r="D191" i="25"/>
  <c r="J191" i="25" s="1"/>
  <c r="D190" i="25"/>
  <c r="J190" i="25" s="1"/>
  <c r="I187" i="25"/>
  <c r="H187" i="25"/>
  <c r="G187" i="25"/>
  <c r="F187" i="25"/>
  <c r="E187" i="25"/>
  <c r="D185" i="25"/>
  <c r="D187" i="25" s="1"/>
  <c r="I182" i="25"/>
  <c r="H182" i="25"/>
  <c r="G182" i="25"/>
  <c r="F182" i="25"/>
  <c r="E182" i="25"/>
  <c r="D180" i="25"/>
  <c r="D182" i="25" s="1"/>
  <c r="I177" i="25"/>
  <c r="H177" i="25"/>
  <c r="G177" i="25"/>
  <c r="F177" i="25"/>
  <c r="E177" i="25"/>
  <c r="D175" i="25"/>
  <c r="J175" i="25" s="1"/>
  <c r="I172" i="25"/>
  <c r="H172" i="25"/>
  <c r="G172" i="25"/>
  <c r="F172" i="25"/>
  <c r="E172" i="25"/>
  <c r="D170" i="25"/>
  <c r="D172" i="25" s="1"/>
  <c r="I167" i="25"/>
  <c r="H167" i="25"/>
  <c r="G167" i="25"/>
  <c r="F167" i="25"/>
  <c r="E167" i="25"/>
  <c r="D165" i="25"/>
  <c r="D164" i="25"/>
  <c r="J164" i="25" s="1"/>
  <c r="I161" i="25"/>
  <c r="H161" i="25"/>
  <c r="G161" i="25"/>
  <c r="F161" i="25"/>
  <c r="E161" i="25"/>
  <c r="D159" i="25"/>
  <c r="D161" i="25" s="1"/>
  <c r="I156" i="25"/>
  <c r="H156" i="25"/>
  <c r="G156" i="25"/>
  <c r="F156" i="25"/>
  <c r="E156" i="25"/>
  <c r="D154" i="25"/>
  <c r="J154" i="25" s="1"/>
  <c r="D153" i="25"/>
  <c r="J153" i="25" s="1"/>
  <c r="D152" i="25"/>
  <c r="J152" i="25" s="1"/>
  <c r="D151" i="25"/>
  <c r="J151" i="25" s="1"/>
  <c r="I148" i="25"/>
  <c r="H148" i="25"/>
  <c r="G148" i="25"/>
  <c r="F148" i="25"/>
  <c r="E148" i="25"/>
  <c r="D146" i="25"/>
  <c r="J146" i="25" s="1"/>
  <c r="D145" i="25"/>
  <c r="D148" i="25" s="1"/>
  <c r="J148" i="25" s="1"/>
  <c r="I142" i="25"/>
  <c r="H142" i="25"/>
  <c r="G142" i="25"/>
  <c r="F142" i="25"/>
  <c r="E142" i="25"/>
  <c r="D140" i="25"/>
  <c r="J140" i="25" s="1"/>
  <c r="D139" i="25"/>
  <c r="D138" i="25"/>
  <c r="J138" i="25" s="1"/>
  <c r="I135" i="25"/>
  <c r="H135" i="25"/>
  <c r="G135" i="25"/>
  <c r="F135" i="25"/>
  <c r="E135" i="25"/>
  <c r="D133" i="25"/>
  <c r="D135" i="25" s="1"/>
  <c r="I130" i="25"/>
  <c r="H130" i="25"/>
  <c r="G130" i="25"/>
  <c r="F130" i="25"/>
  <c r="E130" i="25"/>
  <c r="D130" i="25"/>
  <c r="J128" i="25"/>
  <c r="J130" i="25" s="1"/>
  <c r="I125" i="25"/>
  <c r="H125" i="25"/>
  <c r="G125" i="25"/>
  <c r="F125" i="25"/>
  <c r="E125" i="25"/>
  <c r="D123" i="25"/>
  <c r="J123" i="25" s="1"/>
  <c r="D122" i="25"/>
  <c r="J122" i="25" s="1"/>
  <c r="D121" i="25"/>
  <c r="J121" i="25" s="1"/>
  <c r="D120" i="25"/>
  <c r="I117" i="25"/>
  <c r="H117" i="25"/>
  <c r="G117" i="25"/>
  <c r="F117" i="25"/>
  <c r="E117" i="25"/>
  <c r="D115" i="25"/>
  <c r="D117" i="25" s="1"/>
  <c r="I112" i="25"/>
  <c r="H112" i="25"/>
  <c r="G112" i="25"/>
  <c r="F112" i="25"/>
  <c r="E112" i="25"/>
  <c r="D110" i="25"/>
  <c r="J110" i="25" s="1"/>
  <c r="D109" i="25"/>
  <c r="J109" i="25" s="1"/>
  <c r="D108" i="25"/>
  <c r="J108" i="25" s="1"/>
  <c r="I105" i="25"/>
  <c r="H105" i="25"/>
  <c r="G105" i="25"/>
  <c r="F105" i="25"/>
  <c r="E105" i="25"/>
  <c r="J103" i="25"/>
  <c r="D103" i="25"/>
  <c r="D102" i="25"/>
  <c r="J102" i="25" s="1"/>
  <c r="I99" i="25"/>
  <c r="H99" i="25"/>
  <c r="G99" i="25"/>
  <c r="F99" i="25"/>
  <c r="E99" i="25"/>
  <c r="D97" i="25"/>
  <c r="J97" i="25" s="1"/>
  <c r="D96" i="25"/>
  <c r="J96" i="25" s="1"/>
  <c r="D95" i="25"/>
  <c r="J95" i="25" s="1"/>
  <c r="D94" i="25"/>
  <c r="J94" i="25" s="1"/>
  <c r="I91" i="25"/>
  <c r="H91" i="25"/>
  <c r="G91" i="25"/>
  <c r="F91" i="25"/>
  <c r="E91" i="25"/>
  <c r="D89" i="25"/>
  <c r="D88" i="25"/>
  <c r="J88" i="25" s="1"/>
  <c r="I85" i="25"/>
  <c r="H85" i="25"/>
  <c r="G85" i="25"/>
  <c r="F85" i="25"/>
  <c r="E85" i="25"/>
  <c r="J83" i="25"/>
  <c r="J82" i="25"/>
  <c r="D81" i="25"/>
  <c r="J81" i="25" s="1"/>
  <c r="D80" i="25"/>
  <c r="J80" i="25" s="1"/>
  <c r="I77" i="25"/>
  <c r="H77" i="25"/>
  <c r="G77" i="25"/>
  <c r="F77" i="25"/>
  <c r="E77" i="25"/>
  <c r="D75" i="25"/>
  <c r="D74" i="25"/>
  <c r="J74" i="25" s="1"/>
  <c r="I71" i="25"/>
  <c r="H71" i="25"/>
  <c r="G71" i="25"/>
  <c r="F71" i="25"/>
  <c r="E71" i="25"/>
  <c r="D69" i="25"/>
  <c r="J69" i="25" s="1"/>
  <c r="D68" i="25"/>
  <c r="J68" i="25" s="1"/>
  <c r="I65" i="25"/>
  <c r="H65" i="25"/>
  <c r="G65" i="25"/>
  <c r="F65" i="25"/>
  <c r="E65" i="25"/>
  <c r="D63" i="25"/>
  <c r="J63" i="25" s="1"/>
  <c r="D62" i="25"/>
  <c r="J62" i="25" s="1"/>
  <c r="D61" i="25"/>
  <c r="J61" i="25" s="1"/>
  <c r="D60" i="25"/>
  <c r="J60" i="25" s="1"/>
  <c r="D59" i="25"/>
  <c r="J59" i="25" s="1"/>
  <c r="I56" i="25"/>
  <c r="H56" i="25"/>
  <c r="G56" i="25"/>
  <c r="F56" i="25"/>
  <c r="E56" i="25"/>
  <c r="J54" i="25"/>
  <c r="D53" i="25"/>
  <c r="J53" i="25" s="1"/>
  <c r="I48" i="25"/>
  <c r="H48" i="25"/>
  <c r="G48" i="25"/>
  <c r="F48" i="25"/>
  <c r="E48" i="25"/>
  <c r="D46" i="25"/>
  <c r="D48" i="25" s="1"/>
  <c r="I43" i="25"/>
  <c r="H43" i="25"/>
  <c r="G43" i="25"/>
  <c r="F43" i="25"/>
  <c r="E43" i="25"/>
  <c r="J41" i="25"/>
  <c r="D40" i="25"/>
  <c r="J40" i="25" s="1"/>
  <c r="I36" i="25"/>
  <c r="H36" i="25"/>
  <c r="G36" i="25"/>
  <c r="F36" i="25"/>
  <c r="E36" i="25"/>
  <c r="D36" i="25"/>
  <c r="J34" i="25"/>
  <c r="I30" i="25"/>
  <c r="H30" i="25"/>
  <c r="G30" i="25"/>
  <c r="F30" i="25"/>
  <c r="E30" i="25"/>
  <c r="D28" i="25"/>
  <c r="D30" i="25" s="1"/>
  <c r="I24" i="25"/>
  <c r="H24" i="25"/>
  <c r="G24" i="25"/>
  <c r="F24" i="25"/>
  <c r="E24" i="25"/>
  <c r="J22" i="25"/>
  <c r="D21" i="25"/>
  <c r="D24" i="25" s="1"/>
  <c r="J24" i="25" s="1"/>
  <c r="I18" i="25"/>
  <c r="H18" i="25"/>
  <c r="G18" i="25"/>
  <c r="F18" i="25"/>
  <c r="E18" i="25"/>
  <c r="D16" i="25"/>
  <c r="J16" i="25" s="1"/>
  <c r="D15" i="25"/>
  <c r="J15" i="25" s="1"/>
  <c r="I12" i="25"/>
  <c r="I325" i="25" s="1"/>
  <c r="H12" i="25"/>
  <c r="G12" i="25"/>
  <c r="F12" i="25"/>
  <c r="E12" i="25"/>
  <c r="D10" i="25"/>
  <c r="J10" i="25" s="1"/>
  <c r="D9" i="25"/>
  <c r="J9" i="25" s="1"/>
  <c r="J21" i="25" l="1"/>
  <c r="D105" i="25"/>
  <c r="J105" i="25" s="1"/>
  <c r="D125" i="25"/>
  <c r="J125" i="25" s="1"/>
  <c r="J278" i="25"/>
  <c r="D91" i="25"/>
  <c r="J180" i="25"/>
  <c r="D193" i="25"/>
  <c r="J193" i="25" s="1"/>
  <c r="J291" i="25"/>
  <c r="D167" i="25"/>
  <c r="J167" i="25" s="1"/>
  <c r="D226" i="25"/>
  <c r="J226" i="25" s="1"/>
  <c r="D252" i="25"/>
  <c r="J252" i="25" s="1"/>
  <c r="J91" i="25"/>
  <c r="J120" i="25"/>
  <c r="D142" i="25"/>
  <c r="J142" i="25" s="1"/>
  <c r="J145" i="25"/>
  <c r="J161" i="25"/>
  <c r="D177" i="25"/>
  <c r="J177" i="25" s="1"/>
  <c r="J182" i="25"/>
  <c r="J214" i="25"/>
  <c r="D268" i="25"/>
  <c r="J317" i="25"/>
  <c r="J323" i="25"/>
  <c r="G325" i="25"/>
  <c r="F325" i="25"/>
  <c r="J117" i="25"/>
  <c r="J135" i="25"/>
  <c r="J172" i="25"/>
  <c r="D200" i="25"/>
  <c r="J200" i="25" s="1"/>
  <c r="D240" i="25"/>
  <c r="J240" i="25" s="1"/>
  <c r="J285" i="25"/>
  <c r="E325" i="25"/>
  <c r="H325" i="25"/>
  <c r="D18" i="25"/>
  <c r="J18" i="25" s="1"/>
  <c r="J30" i="25"/>
  <c r="J36" i="25"/>
  <c r="J48" i="25"/>
  <c r="D56" i="25"/>
  <c r="J56" i="25" s="1"/>
  <c r="D77" i="25"/>
  <c r="J77" i="25" s="1"/>
  <c r="D99" i="25"/>
  <c r="J99" i="25" s="1"/>
  <c r="J187" i="25"/>
  <c r="J206" i="25"/>
  <c r="J139" i="25"/>
  <c r="J165" i="25"/>
  <c r="D85" i="25"/>
  <c r="J85" i="25" s="1"/>
  <c r="J46" i="25"/>
  <c r="J185" i="25"/>
  <c r="J203" i="25"/>
  <c r="D214" i="25"/>
  <c r="D232" i="25"/>
  <c r="J232" i="25" s="1"/>
  <c r="J235" i="25"/>
  <c r="D246" i="25"/>
  <c r="J246" i="25" s="1"/>
  <c r="D305" i="25"/>
  <c r="J305" i="25" s="1"/>
  <c r="J75" i="25"/>
  <c r="J89" i="25"/>
  <c r="D112" i="25"/>
  <c r="J112" i="25" s="1"/>
  <c r="J115" i="25"/>
  <c r="J133" i="25"/>
  <c r="D156" i="25"/>
  <c r="J156" i="25" s="1"/>
  <c r="J159" i="25"/>
  <c r="D261" i="25"/>
  <c r="J261" i="25" s="1"/>
  <c r="J264" i="25"/>
  <c r="J268" i="25" s="1"/>
  <c r="D274" i="25"/>
  <c r="J274" i="25" s="1"/>
  <c r="D311" i="25"/>
  <c r="J311" i="25" s="1"/>
  <c r="J314" i="25"/>
  <c r="D65" i="25"/>
  <c r="J65" i="25" s="1"/>
  <c r="J196" i="25"/>
  <c r="D71" i="25"/>
  <c r="J71" i="25" s="1"/>
  <c r="D12" i="25"/>
  <c r="J12" i="25" s="1"/>
  <c r="D43" i="25"/>
  <c r="J43" i="25" s="1"/>
  <c r="J217" i="25"/>
  <c r="J224" i="25"/>
  <c r="J283" i="25"/>
  <c r="J28" i="25"/>
  <c r="J170" i="25"/>
  <c r="J288" i="25"/>
  <c r="D299" i="25"/>
  <c r="J299" i="25" s="1"/>
  <c r="J103" i="19"/>
  <c r="D325" i="25" l="1"/>
  <c r="J325" i="25" s="1"/>
  <c r="I322" i="24"/>
  <c r="H322" i="24"/>
  <c r="G322" i="24"/>
  <c r="F322" i="24"/>
  <c r="E322" i="24"/>
  <c r="J320" i="24"/>
  <c r="D319" i="24"/>
  <c r="J319" i="24" s="1"/>
  <c r="I316" i="24"/>
  <c r="H316" i="24"/>
  <c r="G316" i="24"/>
  <c r="F316" i="24"/>
  <c r="E316" i="24"/>
  <c r="D313" i="24"/>
  <c r="J313" i="24" s="1"/>
  <c r="I310" i="24"/>
  <c r="H310" i="24"/>
  <c r="G310" i="24"/>
  <c r="F310" i="24"/>
  <c r="E310" i="24"/>
  <c r="D307" i="24"/>
  <c r="D310" i="24" s="1"/>
  <c r="I304" i="24"/>
  <c r="H304" i="24"/>
  <c r="G304" i="24"/>
  <c r="F304" i="24"/>
  <c r="E304" i="24"/>
  <c r="D302" i="24"/>
  <c r="J302" i="24" s="1"/>
  <c r="D301" i="24"/>
  <c r="I298" i="24"/>
  <c r="H298" i="24"/>
  <c r="G298" i="24"/>
  <c r="F298" i="24"/>
  <c r="E298" i="24"/>
  <c r="D296" i="24"/>
  <c r="J296" i="24" s="1"/>
  <c r="D295" i="24"/>
  <c r="J295" i="24" s="1"/>
  <c r="D294" i="24"/>
  <c r="J294" i="24" s="1"/>
  <c r="D293" i="24"/>
  <c r="I290" i="24"/>
  <c r="H290" i="24"/>
  <c r="G290" i="24"/>
  <c r="F290" i="24"/>
  <c r="E290" i="24"/>
  <c r="D287" i="24"/>
  <c r="J287" i="24" s="1"/>
  <c r="I284" i="24"/>
  <c r="H284" i="24"/>
  <c r="G284" i="24"/>
  <c r="F284" i="24"/>
  <c r="E284" i="24"/>
  <c r="D282" i="24"/>
  <c r="D284" i="24" s="1"/>
  <c r="I279" i="24"/>
  <c r="H279" i="24"/>
  <c r="G279" i="24"/>
  <c r="F279" i="24"/>
  <c r="E279" i="24"/>
  <c r="D277" i="24"/>
  <c r="J277" i="24" s="1"/>
  <c r="D276" i="24"/>
  <c r="J276" i="24" s="1"/>
  <c r="I273" i="24"/>
  <c r="H273" i="24"/>
  <c r="G273" i="24"/>
  <c r="F273" i="24"/>
  <c r="E273" i="24"/>
  <c r="J271" i="24"/>
  <c r="D271" i="24"/>
  <c r="D270" i="24"/>
  <c r="I267" i="24"/>
  <c r="H267" i="24"/>
  <c r="G267" i="24"/>
  <c r="F267" i="24"/>
  <c r="E267" i="24"/>
  <c r="D265" i="24"/>
  <c r="J265" i="24" s="1"/>
  <c r="D264" i="24"/>
  <c r="J264" i="24" s="1"/>
  <c r="D263" i="24"/>
  <c r="J263" i="24" s="1"/>
  <c r="I260" i="24"/>
  <c r="H260" i="24"/>
  <c r="G260" i="24"/>
  <c r="F260" i="24"/>
  <c r="E260" i="24"/>
  <c r="J257" i="24"/>
  <c r="D257" i="24"/>
  <c r="D256" i="24"/>
  <c r="J256" i="24" s="1"/>
  <c r="D255" i="24"/>
  <c r="J255" i="24" s="1"/>
  <c r="J254" i="24"/>
  <c r="D254" i="24"/>
  <c r="I251" i="24"/>
  <c r="H251" i="24"/>
  <c r="G251" i="24"/>
  <c r="F251" i="24"/>
  <c r="E251" i="24"/>
  <c r="D249" i="24"/>
  <c r="J249" i="24" s="1"/>
  <c r="D248" i="24"/>
  <c r="J248" i="24" s="1"/>
  <c r="I245" i="24"/>
  <c r="H245" i="24"/>
  <c r="G245" i="24"/>
  <c r="F245" i="24"/>
  <c r="E245" i="24"/>
  <c r="D243" i="24"/>
  <c r="D242" i="24"/>
  <c r="D245" i="24" s="1"/>
  <c r="J245" i="24" s="1"/>
  <c r="I239" i="24"/>
  <c r="H239" i="24"/>
  <c r="G239" i="24"/>
  <c r="F239" i="24"/>
  <c r="E239" i="24"/>
  <c r="J237" i="24"/>
  <c r="D236" i="24"/>
  <c r="D235" i="24"/>
  <c r="J235" i="24" s="1"/>
  <c r="D234" i="24"/>
  <c r="J234" i="24" s="1"/>
  <c r="I231" i="24"/>
  <c r="H231" i="24"/>
  <c r="G231" i="24"/>
  <c r="F231" i="24"/>
  <c r="E231" i="24"/>
  <c r="D229" i="24"/>
  <c r="J229" i="24" s="1"/>
  <c r="D228" i="24"/>
  <c r="J228" i="24" s="1"/>
  <c r="I225" i="24"/>
  <c r="H225" i="24"/>
  <c r="G225" i="24"/>
  <c r="F225" i="24"/>
  <c r="E225" i="24"/>
  <c r="D223" i="24"/>
  <c r="D222" i="24"/>
  <c r="J222" i="24" s="1"/>
  <c r="I219" i="24"/>
  <c r="H219" i="24"/>
  <c r="G219" i="24"/>
  <c r="F219" i="24"/>
  <c r="E219" i="24"/>
  <c r="J217" i="24"/>
  <c r="D216" i="24"/>
  <c r="D219" i="24" s="1"/>
  <c r="I213" i="24"/>
  <c r="H213" i="24"/>
  <c r="G213" i="24"/>
  <c r="F213" i="24"/>
  <c r="E213" i="24"/>
  <c r="D211" i="24"/>
  <c r="J211" i="24" s="1"/>
  <c r="D210" i="24"/>
  <c r="J210" i="24" s="1"/>
  <c r="D209" i="24"/>
  <c r="J209" i="24" s="1"/>
  <c r="J208" i="24"/>
  <c r="D208" i="24"/>
  <c r="I205" i="24"/>
  <c r="H205" i="24"/>
  <c r="G205" i="24"/>
  <c r="F205" i="24"/>
  <c r="E205" i="24"/>
  <c r="D202" i="24"/>
  <c r="D205" i="24" s="1"/>
  <c r="I199" i="24"/>
  <c r="H199" i="24"/>
  <c r="G199" i="24"/>
  <c r="F199" i="24"/>
  <c r="E199" i="24"/>
  <c r="D197" i="24"/>
  <c r="J197" i="24" s="1"/>
  <c r="J196" i="24"/>
  <c r="D195" i="24"/>
  <c r="I192" i="24"/>
  <c r="H192" i="24"/>
  <c r="G192" i="24"/>
  <c r="F192" i="24"/>
  <c r="E192" i="24"/>
  <c r="D190" i="24"/>
  <c r="J190" i="24" s="1"/>
  <c r="D189" i="24"/>
  <c r="D192" i="24" s="1"/>
  <c r="J192" i="24" s="1"/>
  <c r="I186" i="24"/>
  <c r="H186" i="24"/>
  <c r="G186" i="24"/>
  <c r="F186" i="24"/>
  <c r="E186" i="24"/>
  <c r="D184" i="24"/>
  <c r="D186" i="24" s="1"/>
  <c r="I181" i="24"/>
  <c r="H181" i="24"/>
  <c r="G181" i="24"/>
  <c r="F181" i="24"/>
  <c r="E181" i="24"/>
  <c r="D179" i="24"/>
  <c r="D181" i="24" s="1"/>
  <c r="I176" i="24"/>
  <c r="H176" i="24"/>
  <c r="G176" i="24"/>
  <c r="F176" i="24"/>
  <c r="E176" i="24"/>
  <c r="D174" i="24"/>
  <c r="D176" i="24" s="1"/>
  <c r="I171" i="24"/>
  <c r="H171" i="24"/>
  <c r="G171" i="24"/>
  <c r="F171" i="24"/>
  <c r="E171" i="24"/>
  <c r="D169" i="24"/>
  <c r="J169" i="24" s="1"/>
  <c r="I166" i="24"/>
  <c r="H166" i="24"/>
  <c r="G166" i="24"/>
  <c r="F166" i="24"/>
  <c r="E166" i="24"/>
  <c r="D164" i="24"/>
  <c r="D163" i="24"/>
  <c r="J163" i="24" s="1"/>
  <c r="I160" i="24"/>
  <c r="H160" i="24"/>
  <c r="G160" i="24"/>
  <c r="F160" i="24"/>
  <c r="E160" i="24"/>
  <c r="D158" i="24"/>
  <c r="D160" i="24" s="1"/>
  <c r="I155" i="24"/>
  <c r="H155" i="24"/>
  <c r="G155" i="24"/>
  <c r="F155" i="24"/>
  <c r="E155" i="24"/>
  <c r="D153" i="24"/>
  <c r="J153" i="24" s="1"/>
  <c r="D152" i="24"/>
  <c r="J152" i="24" s="1"/>
  <c r="D151" i="24"/>
  <c r="J151" i="24" s="1"/>
  <c r="D150" i="24"/>
  <c r="J150" i="24" s="1"/>
  <c r="I147" i="24"/>
  <c r="H147" i="24"/>
  <c r="G147" i="24"/>
  <c r="F147" i="24"/>
  <c r="E147" i="24"/>
  <c r="D145" i="24"/>
  <c r="J145" i="24" s="1"/>
  <c r="D144" i="24"/>
  <c r="I141" i="24"/>
  <c r="H141" i="24"/>
  <c r="G141" i="24"/>
  <c r="F141" i="24"/>
  <c r="E141" i="24"/>
  <c r="D139" i="24"/>
  <c r="J139" i="24" s="1"/>
  <c r="D138" i="24"/>
  <c r="D137" i="24"/>
  <c r="J137" i="24" s="1"/>
  <c r="I134" i="24"/>
  <c r="H134" i="24"/>
  <c r="G134" i="24"/>
  <c r="F134" i="24"/>
  <c r="E134" i="24"/>
  <c r="D132" i="24"/>
  <c r="D134" i="24" s="1"/>
  <c r="J134" i="24" s="1"/>
  <c r="I129" i="24"/>
  <c r="H129" i="24"/>
  <c r="G129" i="24"/>
  <c r="F129" i="24"/>
  <c r="E129" i="24"/>
  <c r="D129" i="24"/>
  <c r="J127" i="24"/>
  <c r="J129" i="24" s="1"/>
  <c r="I124" i="24"/>
  <c r="H124" i="24"/>
  <c r="G124" i="24"/>
  <c r="F124" i="24"/>
  <c r="E124" i="24"/>
  <c r="D122" i="24"/>
  <c r="J122" i="24" s="1"/>
  <c r="D121" i="24"/>
  <c r="J121" i="24" s="1"/>
  <c r="D120" i="24"/>
  <c r="J120" i="24" s="1"/>
  <c r="D119" i="24"/>
  <c r="J119" i="24" s="1"/>
  <c r="I116" i="24"/>
  <c r="H116" i="24"/>
  <c r="G116" i="24"/>
  <c r="F116" i="24"/>
  <c r="E116" i="24"/>
  <c r="D114" i="24"/>
  <c r="D116" i="24" s="1"/>
  <c r="J116" i="24" s="1"/>
  <c r="I111" i="24"/>
  <c r="H111" i="24"/>
  <c r="G111" i="24"/>
  <c r="F111" i="24"/>
  <c r="E111" i="24"/>
  <c r="D109" i="24"/>
  <c r="J109" i="24" s="1"/>
  <c r="D108" i="24"/>
  <c r="J108" i="24" s="1"/>
  <c r="D107" i="24"/>
  <c r="D111" i="24" s="1"/>
  <c r="J111" i="24" s="1"/>
  <c r="I104" i="24"/>
  <c r="H104" i="24"/>
  <c r="G104" i="24"/>
  <c r="F104" i="24"/>
  <c r="E104" i="24"/>
  <c r="D102" i="24"/>
  <c r="D104" i="24" s="1"/>
  <c r="I99" i="24"/>
  <c r="H99" i="24"/>
  <c r="G99" i="24"/>
  <c r="F99" i="24"/>
  <c r="E99" i="24"/>
  <c r="D97" i="24"/>
  <c r="J97" i="24" s="1"/>
  <c r="D96" i="24"/>
  <c r="J96" i="24" s="1"/>
  <c r="D95" i="24"/>
  <c r="J95" i="24" s="1"/>
  <c r="D94" i="24"/>
  <c r="J94" i="24" s="1"/>
  <c r="I91" i="24"/>
  <c r="H91" i="24"/>
  <c r="G91" i="24"/>
  <c r="F91" i="24"/>
  <c r="E91" i="24"/>
  <c r="D89" i="24"/>
  <c r="J89" i="24" s="1"/>
  <c r="D88" i="24"/>
  <c r="J88" i="24" s="1"/>
  <c r="I85" i="24"/>
  <c r="H85" i="24"/>
  <c r="G85" i="24"/>
  <c r="F85" i="24"/>
  <c r="E85" i="24"/>
  <c r="J83" i="24"/>
  <c r="J82" i="24"/>
  <c r="D81" i="24"/>
  <c r="J81" i="24" s="1"/>
  <c r="D80" i="24"/>
  <c r="D85" i="24" s="1"/>
  <c r="J85" i="24" s="1"/>
  <c r="I77" i="24"/>
  <c r="H77" i="24"/>
  <c r="G77" i="24"/>
  <c r="F77" i="24"/>
  <c r="E77" i="24"/>
  <c r="D75" i="24"/>
  <c r="J75" i="24" s="1"/>
  <c r="D74" i="24"/>
  <c r="D77" i="24" s="1"/>
  <c r="J77" i="24" s="1"/>
  <c r="I71" i="24"/>
  <c r="H71" i="24"/>
  <c r="G71" i="24"/>
  <c r="F71" i="24"/>
  <c r="E71" i="24"/>
  <c r="D69" i="24"/>
  <c r="J69" i="24" s="1"/>
  <c r="D68" i="24"/>
  <c r="I65" i="24"/>
  <c r="H65" i="24"/>
  <c r="G65" i="24"/>
  <c r="F65" i="24"/>
  <c r="E65" i="24"/>
  <c r="D63" i="24"/>
  <c r="J63" i="24" s="1"/>
  <c r="J62" i="24"/>
  <c r="D62" i="24"/>
  <c r="D61" i="24"/>
  <c r="J61" i="24" s="1"/>
  <c r="D60" i="24"/>
  <c r="J60" i="24" s="1"/>
  <c r="D59" i="24"/>
  <c r="I56" i="24"/>
  <c r="H56" i="24"/>
  <c r="G56" i="24"/>
  <c r="F56" i="24"/>
  <c r="E56" i="24"/>
  <c r="D56" i="24"/>
  <c r="J56" i="24" s="1"/>
  <c r="J54" i="24"/>
  <c r="D53" i="24"/>
  <c r="J53" i="24" s="1"/>
  <c r="I48" i="24"/>
  <c r="H48" i="24"/>
  <c r="G48" i="24"/>
  <c r="F48" i="24"/>
  <c r="E48" i="24"/>
  <c r="D48" i="24"/>
  <c r="D46" i="24"/>
  <c r="J46" i="24" s="1"/>
  <c r="I43" i="24"/>
  <c r="H43" i="24"/>
  <c r="G43" i="24"/>
  <c r="F43" i="24"/>
  <c r="E43" i="24"/>
  <c r="D41" i="24"/>
  <c r="J41" i="24" s="1"/>
  <c r="D40" i="24"/>
  <c r="D43" i="24" s="1"/>
  <c r="I36" i="24"/>
  <c r="H36" i="24"/>
  <c r="G36" i="24"/>
  <c r="F36" i="24"/>
  <c r="E36" i="24"/>
  <c r="D36" i="24"/>
  <c r="J34" i="24"/>
  <c r="I30" i="24"/>
  <c r="H30" i="24"/>
  <c r="G30" i="24"/>
  <c r="F30" i="24"/>
  <c r="E30" i="24"/>
  <c r="D28" i="24"/>
  <c r="D30" i="24" s="1"/>
  <c r="I24" i="24"/>
  <c r="H24" i="24"/>
  <c r="G24" i="24"/>
  <c r="F24" i="24"/>
  <c r="E24" i="24"/>
  <c r="J22" i="24"/>
  <c r="D21" i="24"/>
  <c r="D24" i="24" s="1"/>
  <c r="I18" i="24"/>
  <c r="H18" i="24"/>
  <c r="G18" i="24"/>
  <c r="F18" i="24"/>
  <c r="E18" i="24"/>
  <c r="D16" i="24"/>
  <c r="J16" i="24" s="1"/>
  <c r="D15" i="24"/>
  <c r="D18" i="24" s="1"/>
  <c r="J18" i="24" s="1"/>
  <c r="I12" i="24"/>
  <c r="H12" i="24"/>
  <c r="G12" i="24"/>
  <c r="F12" i="24"/>
  <c r="F324" i="24" s="1"/>
  <c r="E12" i="24"/>
  <c r="D10" i="24"/>
  <c r="J10" i="24" s="1"/>
  <c r="D9" i="24"/>
  <c r="D12" i="24" s="1"/>
  <c r="J160" i="24" l="1"/>
  <c r="D316" i="24"/>
  <c r="D322" i="24"/>
  <c r="J322" i="24" s="1"/>
  <c r="J74" i="24"/>
  <c r="D141" i="24"/>
  <c r="J141" i="24" s="1"/>
  <c r="D260" i="24"/>
  <c r="D304" i="24"/>
  <c r="J304" i="24" s="1"/>
  <c r="J307" i="24"/>
  <c r="J104" i="24"/>
  <c r="J189" i="24"/>
  <c r="J36" i="24"/>
  <c r="G324" i="24"/>
  <c r="J15" i="24"/>
  <c r="E324" i="24"/>
  <c r="J30" i="24"/>
  <c r="D91" i="24"/>
  <c r="J91" i="24" s="1"/>
  <c r="J102" i="24"/>
  <c r="J114" i="24"/>
  <c r="J132" i="24"/>
  <c r="J158" i="24"/>
  <c r="D166" i="24"/>
  <c r="J166" i="24" s="1"/>
  <c r="J176" i="24"/>
  <c r="J186" i="24"/>
  <c r="D199" i="24"/>
  <c r="J199" i="24" s="1"/>
  <c r="J205" i="24"/>
  <c r="D239" i="24"/>
  <c r="J239" i="24" s="1"/>
  <c r="D251" i="24"/>
  <c r="J251" i="24" s="1"/>
  <c r="J284" i="24"/>
  <c r="D298" i="24"/>
  <c r="J298" i="24" s="1"/>
  <c r="H324" i="24"/>
  <c r="J24" i="24"/>
  <c r="J43" i="24"/>
  <c r="J219" i="24"/>
  <c r="D225" i="24"/>
  <c r="J225" i="24" s="1"/>
  <c r="D273" i="24"/>
  <c r="J273" i="24" s="1"/>
  <c r="I324" i="24"/>
  <c r="J48" i="24"/>
  <c r="D65" i="24"/>
  <c r="J65" i="24" s="1"/>
  <c r="D71" i="24"/>
  <c r="J71" i="24" s="1"/>
  <c r="D147" i="24"/>
  <c r="J147" i="24" s="1"/>
  <c r="J181" i="24"/>
  <c r="D213" i="24"/>
  <c r="J260" i="24"/>
  <c r="J310" i="24"/>
  <c r="J316" i="24"/>
  <c r="J12" i="24"/>
  <c r="J213" i="24"/>
  <c r="J267" i="24"/>
  <c r="J107" i="24"/>
  <c r="J195" i="24"/>
  <c r="J59" i="24"/>
  <c r="D279" i="24"/>
  <c r="J279" i="24" s="1"/>
  <c r="J28" i="24"/>
  <c r="D171" i="24"/>
  <c r="J171" i="24" s="1"/>
  <c r="J242" i="24"/>
  <c r="J40" i="24"/>
  <c r="J179" i="24"/>
  <c r="D267" i="24"/>
  <c r="J293" i="24"/>
  <c r="J184" i="24"/>
  <c r="J202" i="24"/>
  <c r="J216" i="24"/>
  <c r="D231" i="24"/>
  <c r="J231" i="24" s="1"/>
  <c r="J80" i="24"/>
  <c r="J138" i="24"/>
  <c r="J223" i="24"/>
  <c r="J282" i="24"/>
  <c r="J9" i="24"/>
  <c r="J68" i="24"/>
  <c r="J301" i="24"/>
  <c r="J270" i="24"/>
  <c r="D290" i="24"/>
  <c r="J290" i="24" s="1"/>
  <c r="D124" i="24"/>
  <c r="J124" i="24" s="1"/>
  <c r="D155" i="24"/>
  <c r="J155" i="24" s="1"/>
  <c r="D99" i="24"/>
  <c r="J99" i="24" s="1"/>
  <c r="J21" i="24"/>
  <c r="J164" i="24"/>
  <c r="J236" i="24"/>
  <c r="J174" i="24"/>
  <c r="J144" i="24"/>
  <c r="J165" i="19"/>
  <c r="J69" i="19"/>
  <c r="D324" i="24" l="1"/>
  <c r="J324" i="24" s="1"/>
  <c r="I321" i="23"/>
  <c r="H321" i="23"/>
  <c r="G321" i="23"/>
  <c r="F321" i="23"/>
  <c r="E321" i="23"/>
  <c r="D321" i="23"/>
  <c r="J319" i="23"/>
  <c r="J318" i="23"/>
  <c r="I315" i="23"/>
  <c r="H315" i="23"/>
  <c r="G315" i="23"/>
  <c r="F315" i="23"/>
  <c r="E315" i="23"/>
  <c r="D315" i="23"/>
  <c r="J312" i="23"/>
  <c r="I309" i="23"/>
  <c r="H309" i="23"/>
  <c r="G309" i="23"/>
  <c r="F309" i="23"/>
  <c r="E309" i="23"/>
  <c r="D309" i="23"/>
  <c r="J306" i="23"/>
  <c r="I303" i="23"/>
  <c r="H303" i="23"/>
  <c r="G303" i="23"/>
  <c r="F303" i="23"/>
  <c r="E303" i="23"/>
  <c r="D303" i="23"/>
  <c r="J301" i="23"/>
  <c r="J300" i="23"/>
  <c r="I297" i="23"/>
  <c r="H297" i="23"/>
  <c r="G297" i="23"/>
  <c r="F297" i="23"/>
  <c r="E297" i="23"/>
  <c r="D297" i="23"/>
  <c r="J295" i="23"/>
  <c r="J294" i="23"/>
  <c r="J293" i="23"/>
  <c r="J292" i="23"/>
  <c r="I289" i="23"/>
  <c r="H289" i="23"/>
  <c r="G289" i="23"/>
  <c r="F289" i="23"/>
  <c r="E289" i="23"/>
  <c r="D289" i="23"/>
  <c r="J286" i="23"/>
  <c r="I283" i="23"/>
  <c r="H283" i="23"/>
  <c r="G283" i="23"/>
  <c r="F283" i="23"/>
  <c r="E283" i="23"/>
  <c r="D283" i="23"/>
  <c r="J281" i="23"/>
  <c r="I278" i="23"/>
  <c r="H278" i="23"/>
  <c r="G278" i="23"/>
  <c r="F278" i="23"/>
  <c r="E278" i="23"/>
  <c r="D278" i="23"/>
  <c r="J276" i="23"/>
  <c r="J275" i="23"/>
  <c r="I272" i="23"/>
  <c r="H272" i="23"/>
  <c r="G272" i="23"/>
  <c r="F272" i="23"/>
  <c r="E272" i="23"/>
  <c r="D272" i="23"/>
  <c r="J270" i="23"/>
  <c r="J269" i="23"/>
  <c r="I266" i="23"/>
  <c r="H266" i="23"/>
  <c r="G266" i="23"/>
  <c r="F266" i="23"/>
  <c r="E266" i="23"/>
  <c r="D266" i="23"/>
  <c r="J264" i="23"/>
  <c r="J263" i="23"/>
  <c r="J262" i="23"/>
  <c r="J266" i="23" s="1"/>
  <c r="I259" i="23"/>
  <c r="H259" i="23"/>
  <c r="G259" i="23"/>
  <c r="F259" i="23"/>
  <c r="E259" i="23"/>
  <c r="D259" i="23"/>
  <c r="J256" i="23"/>
  <c r="J255" i="23"/>
  <c r="J254" i="23"/>
  <c r="J253" i="23"/>
  <c r="I250" i="23"/>
  <c r="H250" i="23"/>
  <c r="G250" i="23"/>
  <c r="F250" i="23"/>
  <c r="E250" i="23"/>
  <c r="D250" i="23"/>
  <c r="J250" i="23" s="1"/>
  <c r="J248" i="23"/>
  <c r="J247" i="23"/>
  <c r="I244" i="23"/>
  <c r="H244" i="23"/>
  <c r="G244" i="23"/>
  <c r="F244" i="23"/>
  <c r="E244" i="23"/>
  <c r="D244" i="23"/>
  <c r="J244" i="23" s="1"/>
  <c r="J241" i="23"/>
  <c r="I238" i="23"/>
  <c r="H238" i="23"/>
  <c r="G238" i="23"/>
  <c r="F238" i="23"/>
  <c r="E238" i="23"/>
  <c r="D238" i="23"/>
  <c r="J236" i="23"/>
  <c r="J235" i="23"/>
  <c r="J234" i="23"/>
  <c r="J233" i="23"/>
  <c r="I230" i="23"/>
  <c r="H230" i="23"/>
  <c r="G230" i="23"/>
  <c r="F230" i="23"/>
  <c r="E230" i="23"/>
  <c r="D230" i="23"/>
  <c r="J228" i="23"/>
  <c r="J227" i="23"/>
  <c r="I224" i="23"/>
  <c r="H224" i="23"/>
  <c r="G224" i="23"/>
  <c r="F224" i="23"/>
  <c r="E224" i="23"/>
  <c r="D224" i="23"/>
  <c r="J222" i="23"/>
  <c r="J221" i="23"/>
  <c r="I218" i="23"/>
  <c r="H218" i="23"/>
  <c r="G218" i="23"/>
  <c r="F218" i="23"/>
  <c r="E218" i="23"/>
  <c r="D218" i="23"/>
  <c r="J216" i="23"/>
  <c r="J215" i="23"/>
  <c r="I212" i="23"/>
  <c r="H212" i="23"/>
  <c r="G212" i="23"/>
  <c r="F212" i="23"/>
  <c r="E212" i="23"/>
  <c r="D212" i="23"/>
  <c r="J210" i="23"/>
  <c r="J209" i="23"/>
  <c r="J208" i="23"/>
  <c r="J207" i="23"/>
  <c r="I204" i="23"/>
  <c r="H204" i="23"/>
  <c r="G204" i="23"/>
  <c r="F204" i="23"/>
  <c r="E204" i="23"/>
  <c r="D204" i="23"/>
  <c r="J201" i="23"/>
  <c r="I198" i="23"/>
  <c r="H198" i="23"/>
  <c r="G198" i="23"/>
  <c r="F198" i="23"/>
  <c r="E198" i="23"/>
  <c r="D198" i="23"/>
  <c r="J196" i="23"/>
  <c r="J195" i="23"/>
  <c r="J194" i="23"/>
  <c r="I191" i="23"/>
  <c r="H191" i="23"/>
  <c r="G191" i="23"/>
  <c r="F191" i="23"/>
  <c r="E191" i="23"/>
  <c r="D191" i="23"/>
  <c r="J189" i="23"/>
  <c r="J188" i="23"/>
  <c r="I185" i="23"/>
  <c r="H185" i="23"/>
  <c r="G185" i="23"/>
  <c r="J185" i="23" s="1"/>
  <c r="F185" i="23"/>
  <c r="E185" i="23"/>
  <c r="D185" i="23"/>
  <c r="J183" i="23"/>
  <c r="I180" i="23"/>
  <c r="H180" i="23"/>
  <c r="G180" i="23"/>
  <c r="F180" i="23"/>
  <c r="E180" i="23"/>
  <c r="D180" i="23"/>
  <c r="J178" i="23"/>
  <c r="I175" i="23"/>
  <c r="H175" i="23"/>
  <c r="G175" i="23"/>
  <c r="F175" i="23"/>
  <c r="E175" i="23"/>
  <c r="D175" i="23"/>
  <c r="J173" i="23"/>
  <c r="I170" i="23"/>
  <c r="H170" i="23"/>
  <c r="G170" i="23"/>
  <c r="F170" i="23"/>
  <c r="E170" i="23"/>
  <c r="D170" i="23"/>
  <c r="J168" i="23"/>
  <c r="I165" i="23"/>
  <c r="H165" i="23"/>
  <c r="G165" i="23"/>
  <c r="F165" i="23"/>
  <c r="E165" i="23"/>
  <c r="D165" i="23"/>
  <c r="J163" i="23"/>
  <c r="I160" i="23"/>
  <c r="H160" i="23"/>
  <c r="G160" i="23"/>
  <c r="F160" i="23"/>
  <c r="E160" i="23"/>
  <c r="D160" i="23"/>
  <c r="J158" i="23"/>
  <c r="I155" i="23"/>
  <c r="H155" i="23"/>
  <c r="G155" i="23"/>
  <c r="F155" i="23"/>
  <c r="E155" i="23"/>
  <c r="D155" i="23"/>
  <c r="J153" i="23"/>
  <c r="J152" i="23"/>
  <c r="J151" i="23"/>
  <c r="J150" i="23"/>
  <c r="I147" i="23"/>
  <c r="H147" i="23"/>
  <c r="G147" i="23"/>
  <c r="F147" i="23"/>
  <c r="E147" i="23"/>
  <c r="D147" i="23"/>
  <c r="J145" i="23"/>
  <c r="J144" i="23"/>
  <c r="I141" i="23"/>
  <c r="H141" i="23"/>
  <c r="G141" i="23"/>
  <c r="F141" i="23"/>
  <c r="E141" i="23"/>
  <c r="D141" i="23"/>
  <c r="J139" i="23"/>
  <c r="J138" i="23"/>
  <c r="J137" i="23"/>
  <c r="I134" i="23"/>
  <c r="H134" i="23"/>
  <c r="G134" i="23"/>
  <c r="F134" i="23"/>
  <c r="E134" i="23"/>
  <c r="D134" i="23"/>
  <c r="J132" i="23"/>
  <c r="I129" i="23"/>
  <c r="H129" i="23"/>
  <c r="G129" i="23"/>
  <c r="F129" i="23"/>
  <c r="E129" i="23"/>
  <c r="D129" i="23"/>
  <c r="J127" i="23"/>
  <c r="J129" i="23" s="1"/>
  <c r="I124" i="23"/>
  <c r="H124" i="23"/>
  <c r="G124" i="23"/>
  <c r="F124" i="23"/>
  <c r="E124" i="23"/>
  <c r="D124" i="23"/>
  <c r="J122" i="23"/>
  <c r="J121" i="23"/>
  <c r="J120" i="23"/>
  <c r="J119" i="23"/>
  <c r="I116" i="23"/>
  <c r="H116" i="23"/>
  <c r="G116" i="23"/>
  <c r="F116" i="23"/>
  <c r="E116" i="23"/>
  <c r="D116" i="23"/>
  <c r="J114" i="23"/>
  <c r="I111" i="23"/>
  <c r="H111" i="23"/>
  <c r="G111" i="23"/>
  <c r="F111" i="23"/>
  <c r="E111" i="23"/>
  <c r="D111" i="23"/>
  <c r="J109" i="23"/>
  <c r="J108" i="23"/>
  <c r="J107" i="23"/>
  <c r="I104" i="23"/>
  <c r="H104" i="23"/>
  <c r="G104" i="23"/>
  <c r="F104" i="23"/>
  <c r="E104" i="23"/>
  <c r="D104" i="23"/>
  <c r="J102" i="23"/>
  <c r="I99" i="23"/>
  <c r="H99" i="23"/>
  <c r="G99" i="23"/>
  <c r="F99" i="23"/>
  <c r="E99" i="23"/>
  <c r="D99" i="23"/>
  <c r="J97" i="23"/>
  <c r="J96" i="23"/>
  <c r="J95" i="23"/>
  <c r="J94" i="23"/>
  <c r="I91" i="23"/>
  <c r="H91" i="23"/>
  <c r="G91" i="23"/>
  <c r="F91" i="23"/>
  <c r="E91" i="23"/>
  <c r="D91" i="23"/>
  <c r="J89" i="23"/>
  <c r="J88" i="23"/>
  <c r="I85" i="23"/>
  <c r="H85" i="23"/>
  <c r="G85" i="23"/>
  <c r="F85" i="23"/>
  <c r="E85" i="23"/>
  <c r="D85" i="23"/>
  <c r="J83" i="23"/>
  <c r="J82" i="23"/>
  <c r="J81" i="23"/>
  <c r="J80" i="23"/>
  <c r="I77" i="23"/>
  <c r="H77" i="23"/>
  <c r="G77" i="23"/>
  <c r="F77" i="23"/>
  <c r="E77" i="23"/>
  <c r="D77" i="23"/>
  <c r="J75" i="23"/>
  <c r="J74" i="23"/>
  <c r="I71" i="23"/>
  <c r="H71" i="23"/>
  <c r="G71" i="23"/>
  <c r="F71" i="23"/>
  <c r="E71" i="23"/>
  <c r="D71" i="23"/>
  <c r="J68" i="23"/>
  <c r="I65" i="23"/>
  <c r="H65" i="23"/>
  <c r="G65" i="23"/>
  <c r="F65" i="23"/>
  <c r="E65" i="23"/>
  <c r="D65" i="23"/>
  <c r="J63" i="23"/>
  <c r="J62" i="23"/>
  <c r="J61" i="23"/>
  <c r="J60" i="23"/>
  <c r="J59" i="23"/>
  <c r="I56" i="23"/>
  <c r="H56" i="23"/>
  <c r="G56" i="23"/>
  <c r="F56" i="23"/>
  <c r="E56" i="23"/>
  <c r="D56" i="23"/>
  <c r="J54" i="23"/>
  <c r="J53" i="23"/>
  <c r="I48" i="23"/>
  <c r="H48" i="23"/>
  <c r="G48" i="23"/>
  <c r="F48" i="23"/>
  <c r="E48" i="23"/>
  <c r="D48" i="23"/>
  <c r="J46" i="23"/>
  <c r="I43" i="23"/>
  <c r="H43" i="23"/>
  <c r="G43" i="23"/>
  <c r="F43" i="23"/>
  <c r="E43" i="23"/>
  <c r="D43" i="23"/>
  <c r="J41" i="23"/>
  <c r="J40" i="23"/>
  <c r="I36" i="23"/>
  <c r="H36" i="23"/>
  <c r="G36" i="23"/>
  <c r="F36" i="23"/>
  <c r="E36" i="23"/>
  <c r="D36" i="23"/>
  <c r="J34" i="23"/>
  <c r="I30" i="23"/>
  <c r="H30" i="23"/>
  <c r="G30" i="23"/>
  <c r="F30" i="23"/>
  <c r="E30" i="23"/>
  <c r="D30" i="23"/>
  <c r="J28" i="23"/>
  <c r="I24" i="23"/>
  <c r="H24" i="23"/>
  <c r="G24" i="23"/>
  <c r="F24" i="23"/>
  <c r="E24" i="23"/>
  <c r="D24" i="23"/>
  <c r="J22" i="23"/>
  <c r="J21" i="23"/>
  <c r="I18" i="23"/>
  <c r="H18" i="23"/>
  <c r="G18" i="23"/>
  <c r="F18" i="23"/>
  <c r="E18" i="23"/>
  <c r="D18" i="23"/>
  <c r="J16" i="23"/>
  <c r="J15" i="23"/>
  <c r="I12" i="23"/>
  <c r="H12" i="23"/>
  <c r="G12" i="23"/>
  <c r="F12" i="23"/>
  <c r="E12" i="23"/>
  <c r="D12" i="23"/>
  <c r="J10" i="23"/>
  <c r="J9" i="23"/>
  <c r="J71" i="23" l="1"/>
  <c r="D323" i="23"/>
  <c r="J65" i="23"/>
  <c r="J104" i="23"/>
  <c r="J134" i="23"/>
  <c r="J141" i="23"/>
  <c r="J147" i="23"/>
  <c r="J238" i="23"/>
  <c r="J77" i="23"/>
  <c r="J99" i="23"/>
  <c r="J297" i="23"/>
  <c r="J48" i="23"/>
  <c r="J180" i="23"/>
  <c r="J175" i="23"/>
  <c r="J289" i="23"/>
  <c r="J321" i="23"/>
  <c r="J36" i="23"/>
  <c r="J116" i="23"/>
  <c r="J170" i="23"/>
  <c r="J218" i="23"/>
  <c r="J283" i="23"/>
  <c r="J30" i="23"/>
  <c r="J85" i="23"/>
  <c r="J111" i="23"/>
  <c r="J165" i="23"/>
  <c r="J212" i="23"/>
  <c r="J272" i="23"/>
  <c r="J278" i="23"/>
  <c r="E323" i="23"/>
  <c r="F323" i="23"/>
  <c r="J43" i="23"/>
  <c r="J124" i="23"/>
  <c r="J224" i="23"/>
  <c r="H323" i="23"/>
  <c r="J91" i="23"/>
  <c r="J160" i="23"/>
  <c r="J191" i="23"/>
  <c r="J204" i="23"/>
  <c r="J315" i="23"/>
  <c r="J12" i="23"/>
  <c r="J18" i="23"/>
  <c r="J56" i="23"/>
  <c r="J155" i="23"/>
  <c r="J198" i="23"/>
  <c r="J259" i="23"/>
  <c r="J309" i="23"/>
  <c r="J230" i="23"/>
  <c r="J303" i="23"/>
  <c r="G323" i="23"/>
  <c r="J24" i="23"/>
  <c r="I323" i="23"/>
  <c r="J62" i="19"/>
  <c r="I320" i="22"/>
  <c r="H320" i="22"/>
  <c r="G320" i="22"/>
  <c r="F320" i="22"/>
  <c r="E320" i="22"/>
  <c r="D320" i="22"/>
  <c r="J318" i="22"/>
  <c r="J317" i="22"/>
  <c r="I314" i="22"/>
  <c r="H314" i="22"/>
  <c r="G314" i="22"/>
  <c r="F314" i="22"/>
  <c r="E314" i="22"/>
  <c r="D314" i="22"/>
  <c r="J311" i="22"/>
  <c r="I308" i="22"/>
  <c r="H308" i="22"/>
  <c r="G308" i="22"/>
  <c r="F308" i="22"/>
  <c r="E308" i="22"/>
  <c r="D308" i="22"/>
  <c r="J305" i="22"/>
  <c r="I302" i="22"/>
  <c r="H302" i="22"/>
  <c r="G302" i="22"/>
  <c r="F302" i="22"/>
  <c r="E302" i="22"/>
  <c r="D302" i="22"/>
  <c r="J300" i="22"/>
  <c r="J299" i="22"/>
  <c r="I296" i="22"/>
  <c r="H296" i="22"/>
  <c r="G296" i="22"/>
  <c r="F296" i="22"/>
  <c r="E296" i="22"/>
  <c r="D296" i="22"/>
  <c r="J294" i="22"/>
  <c r="J293" i="22"/>
  <c r="J292" i="22"/>
  <c r="J291" i="22"/>
  <c r="I288" i="22"/>
  <c r="H288" i="22"/>
  <c r="G288" i="22"/>
  <c r="F288" i="22"/>
  <c r="E288" i="22"/>
  <c r="D288" i="22"/>
  <c r="J285" i="22"/>
  <c r="I282" i="22"/>
  <c r="H282" i="22"/>
  <c r="G282" i="22"/>
  <c r="F282" i="22"/>
  <c r="E282" i="22"/>
  <c r="D282" i="22"/>
  <c r="J280" i="22"/>
  <c r="I277" i="22"/>
  <c r="H277" i="22"/>
  <c r="G277" i="22"/>
  <c r="F277" i="22"/>
  <c r="E277" i="22"/>
  <c r="D277" i="22"/>
  <c r="J275" i="22"/>
  <c r="J274" i="22"/>
  <c r="I271" i="22"/>
  <c r="H271" i="22"/>
  <c r="G271" i="22"/>
  <c r="F271" i="22"/>
  <c r="E271" i="22"/>
  <c r="D271" i="22"/>
  <c r="J269" i="22"/>
  <c r="J268" i="22"/>
  <c r="I265" i="22"/>
  <c r="H265" i="22"/>
  <c r="G265" i="22"/>
  <c r="F265" i="22"/>
  <c r="E265" i="22"/>
  <c r="D265" i="22"/>
  <c r="J263" i="22"/>
  <c r="J262" i="22"/>
  <c r="J261" i="22"/>
  <c r="I258" i="22"/>
  <c r="H258" i="22"/>
  <c r="G258" i="22"/>
  <c r="F258" i="22"/>
  <c r="E258" i="22"/>
  <c r="D258" i="22"/>
  <c r="J255" i="22"/>
  <c r="J254" i="22"/>
  <c r="J253" i="22"/>
  <c r="J252" i="22"/>
  <c r="I249" i="22"/>
  <c r="H249" i="22"/>
  <c r="G249" i="22"/>
  <c r="F249" i="22"/>
  <c r="E249" i="22"/>
  <c r="D249" i="22"/>
  <c r="J247" i="22"/>
  <c r="J246" i="22"/>
  <c r="I243" i="22"/>
  <c r="H243" i="22"/>
  <c r="G243" i="22"/>
  <c r="F243" i="22"/>
  <c r="E243" i="22"/>
  <c r="D243" i="22"/>
  <c r="J240" i="22"/>
  <c r="I237" i="22"/>
  <c r="H237" i="22"/>
  <c r="G237" i="22"/>
  <c r="F237" i="22"/>
  <c r="E237" i="22"/>
  <c r="D237" i="22"/>
  <c r="J235" i="22"/>
  <c r="J234" i="22"/>
  <c r="J233" i="22"/>
  <c r="J232" i="22"/>
  <c r="I229" i="22"/>
  <c r="H229" i="22"/>
  <c r="G229" i="22"/>
  <c r="F229" i="22"/>
  <c r="E229" i="22"/>
  <c r="D229" i="22"/>
  <c r="J227" i="22"/>
  <c r="J226" i="22"/>
  <c r="I223" i="22"/>
  <c r="H223" i="22"/>
  <c r="G223" i="22"/>
  <c r="F223" i="22"/>
  <c r="E223" i="22"/>
  <c r="D223" i="22"/>
  <c r="J221" i="22"/>
  <c r="J220" i="22"/>
  <c r="I217" i="22"/>
  <c r="H217" i="22"/>
  <c r="G217" i="22"/>
  <c r="F217" i="22"/>
  <c r="E217" i="22"/>
  <c r="D217" i="22"/>
  <c r="J215" i="22"/>
  <c r="J214" i="22"/>
  <c r="I211" i="22"/>
  <c r="H211" i="22"/>
  <c r="G211" i="22"/>
  <c r="F211" i="22"/>
  <c r="E211" i="22"/>
  <c r="D211" i="22"/>
  <c r="J209" i="22"/>
  <c r="J208" i="22"/>
  <c r="J207" i="22"/>
  <c r="J206" i="22"/>
  <c r="I203" i="22"/>
  <c r="H203" i="22"/>
  <c r="G203" i="22"/>
  <c r="F203" i="22"/>
  <c r="E203" i="22"/>
  <c r="D203" i="22"/>
  <c r="J200" i="22"/>
  <c r="I197" i="22"/>
  <c r="H197" i="22"/>
  <c r="G197" i="22"/>
  <c r="F197" i="22"/>
  <c r="E197" i="22"/>
  <c r="D197" i="22"/>
  <c r="J195" i="22"/>
  <c r="J194" i="22"/>
  <c r="J193" i="22"/>
  <c r="I190" i="22"/>
  <c r="H190" i="22"/>
  <c r="G190" i="22"/>
  <c r="F190" i="22"/>
  <c r="E190" i="22"/>
  <c r="D190" i="22"/>
  <c r="J188" i="22"/>
  <c r="J187" i="22"/>
  <c r="I184" i="22"/>
  <c r="H184" i="22"/>
  <c r="G184" i="22"/>
  <c r="F184" i="22"/>
  <c r="E184" i="22"/>
  <c r="D184" i="22"/>
  <c r="J182" i="22"/>
  <c r="I179" i="22"/>
  <c r="H179" i="22"/>
  <c r="G179" i="22"/>
  <c r="F179" i="22"/>
  <c r="E179" i="22"/>
  <c r="D179" i="22"/>
  <c r="J177" i="22"/>
  <c r="I174" i="22"/>
  <c r="H174" i="22"/>
  <c r="G174" i="22"/>
  <c r="F174" i="22"/>
  <c r="E174" i="22"/>
  <c r="D174" i="22"/>
  <c r="J172" i="22"/>
  <c r="I169" i="22"/>
  <c r="H169" i="22"/>
  <c r="G169" i="22"/>
  <c r="F169" i="22"/>
  <c r="E169" i="22"/>
  <c r="D169" i="22"/>
  <c r="J167" i="22"/>
  <c r="I164" i="22"/>
  <c r="H164" i="22"/>
  <c r="G164" i="22"/>
  <c r="F164" i="22"/>
  <c r="E164" i="22"/>
  <c r="D164" i="22"/>
  <c r="J162" i="22"/>
  <c r="I159" i="22"/>
  <c r="H159" i="22"/>
  <c r="G159" i="22"/>
  <c r="F159" i="22"/>
  <c r="E159" i="22"/>
  <c r="D159" i="22"/>
  <c r="J157" i="22"/>
  <c r="I154" i="22"/>
  <c r="H154" i="22"/>
  <c r="G154" i="22"/>
  <c r="F154" i="22"/>
  <c r="E154" i="22"/>
  <c r="D154" i="22"/>
  <c r="J152" i="22"/>
  <c r="J151" i="22"/>
  <c r="J150" i="22"/>
  <c r="J149" i="22"/>
  <c r="I146" i="22"/>
  <c r="H146" i="22"/>
  <c r="G146" i="22"/>
  <c r="F146" i="22"/>
  <c r="E146" i="22"/>
  <c r="D146" i="22"/>
  <c r="J144" i="22"/>
  <c r="J143" i="22"/>
  <c r="I140" i="22"/>
  <c r="H140" i="22"/>
  <c r="G140" i="22"/>
  <c r="F140" i="22"/>
  <c r="E140" i="22"/>
  <c r="D140" i="22"/>
  <c r="J138" i="22"/>
  <c r="J137" i="22"/>
  <c r="J136" i="22"/>
  <c r="I133" i="22"/>
  <c r="H133" i="22"/>
  <c r="G133" i="22"/>
  <c r="F133" i="22"/>
  <c r="E133" i="22"/>
  <c r="D133" i="22"/>
  <c r="J131" i="22"/>
  <c r="I128" i="22"/>
  <c r="H128" i="22"/>
  <c r="G128" i="22"/>
  <c r="F128" i="22"/>
  <c r="E128" i="22"/>
  <c r="D128" i="22"/>
  <c r="J126" i="22"/>
  <c r="J128" i="22" s="1"/>
  <c r="I123" i="22"/>
  <c r="H123" i="22"/>
  <c r="G123" i="22"/>
  <c r="F123" i="22"/>
  <c r="E123" i="22"/>
  <c r="D123" i="22"/>
  <c r="J121" i="22"/>
  <c r="J120" i="22"/>
  <c r="J119" i="22"/>
  <c r="J118" i="22"/>
  <c r="I115" i="22"/>
  <c r="H115" i="22"/>
  <c r="G115" i="22"/>
  <c r="F115" i="22"/>
  <c r="E115" i="22"/>
  <c r="D115" i="22"/>
  <c r="J113" i="22"/>
  <c r="I110" i="22"/>
  <c r="H110" i="22"/>
  <c r="G110" i="22"/>
  <c r="F110" i="22"/>
  <c r="E110" i="22"/>
  <c r="D110" i="22"/>
  <c r="J108" i="22"/>
  <c r="J107" i="22"/>
  <c r="J106" i="22"/>
  <c r="I103" i="22"/>
  <c r="H103" i="22"/>
  <c r="G103" i="22"/>
  <c r="F103" i="22"/>
  <c r="E103" i="22"/>
  <c r="D103" i="22"/>
  <c r="J101" i="22"/>
  <c r="I98" i="22"/>
  <c r="H98" i="22"/>
  <c r="G98" i="22"/>
  <c r="F98" i="22"/>
  <c r="E98" i="22"/>
  <c r="D98" i="22"/>
  <c r="J96" i="22"/>
  <c r="J95" i="22"/>
  <c r="J94" i="22"/>
  <c r="J93" i="22"/>
  <c r="I90" i="22"/>
  <c r="H90" i="22"/>
  <c r="G90" i="22"/>
  <c r="F90" i="22"/>
  <c r="E90" i="22"/>
  <c r="D90" i="22"/>
  <c r="J88" i="22"/>
  <c r="J87" i="22"/>
  <c r="I84" i="22"/>
  <c r="H84" i="22"/>
  <c r="G84" i="22"/>
  <c r="F84" i="22"/>
  <c r="E84" i="22"/>
  <c r="D84" i="22"/>
  <c r="J82" i="22"/>
  <c r="J81" i="22"/>
  <c r="J80" i="22"/>
  <c r="J79" i="22"/>
  <c r="I76" i="22"/>
  <c r="H76" i="22"/>
  <c r="G76" i="22"/>
  <c r="F76" i="22"/>
  <c r="E76" i="22"/>
  <c r="D76" i="22"/>
  <c r="J74" i="22"/>
  <c r="J73" i="22"/>
  <c r="I70" i="22"/>
  <c r="H70" i="22"/>
  <c r="G70" i="22"/>
  <c r="F70" i="22"/>
  <c r="E70" i="22"/>
  <c r="D70" i="22"/>
  <c r="J67" i="22"/>
  <c r="I64" i="22"/>
  <c r="H64" i="22"/>
  <c r="G64" i="22"/>
  <c r="F64" i="22"/>
  <c r="E64" i="22"/>
  <c r="D64" i="22"/>
  <c r="J62" i="22"/>
  <c r="J61" i="22"/>
  <c r="J60" i="22"/>
  <c r="J59" i="22"/>
  <c r="I56" i="22"/>
  <c r="H56" i="22"/>
  <c r="G56" i="22"/>
  <c r="F56" i="22"/>
  <c r="E56" i="22"/>
  <c r="D56" i="22"/>
  <c r="J54" i="22"/>
  <c r="J53" i="22"/>
  <c r="I48" i="22"/>
  <c r="H48" i="22"/>
  <c r="G48" i="22"/>
  <c r="F48" i="22"/>
  <c r="E48" i="22"/>
  <c r="D48" i="22"/>
  <c r="J46" i="22"/>
  <c r="I43" i="22"/>
  <c r="H43" i="22"/>
  <c r="G43" i="22"/>
  <c r="F43" i="22"/>
  <c r="E43" i="22"/>
  <c r="D43" i="22"/>
  <c r="J41" i="22"/>
  <c r="J40" i="22"/>
  <c r="I36" i="22"/>
  <c r="H36" i="22"/>
  <c r="G36" i="22"/>
  <c r="F36" i="22"/>
  <c r="E36" i="22"/>
  <c r="D36" i="22"/>
  <c r="J34" i="22"/>
  <c r="I30" i="22"/>
  <c r="H30" i="22"/>
  <c r="G30" i="22"/>
  <c r="F30" i="22"/>
  <c r="E30" i="22"/>
  <c r="D30" i="22"/>
  <c r="J28" i="22"/>
  <c r="I24" i="22"/>
  <c r="H24" i="22"/>
  <c r="G24" i="22"/>
  <c r="F24" i="22"/>
  <c r="E24" i="22"/>
  <c r="D24" i="22"/>
  <c r="J22" i="22"/>
  <c r="J21" i="22"/>
  <c r="I18" i="22"/>
  <c r="H18" i="22"/>
  <c r="G18" i="22"/>
  <c r="F18" i="22"/>
  <c r="E18" i="22"/>
  <c r="D18" i="22"/>
  <c r="J16" i="22"/>
  <c r="J15" i="22"/>
  <c r="I12" i="22"/>
  <c r="H12" i="22"/>
  <c r="G12" i="22"/>
  <c r="F12" i="22"/>
  <c r="E12" i="22"/>
  <c r="D12" i="22"/>
  <c r="J10" i="22"/>
  <c r="J9" i="22"/>
  <c r="J98" i="22" l="1"/>
  <c r="J110" i="22"/>
  <c r="J140" i="22"/>
  <c r="J146" i="22"/>
  <c r="J164" i="22"/>
  <c r="J237" i="22"/>
  <c r="J288" i="22"/>
  <c r="J314" i="22"/>
  <c r="J320" i="22"/>
  <c r="F322" i="22"/>
  <c r="J123" i="22"/>
  <c r="J159" i="22"/>
  <c r="J258" i="22"/>
  <c r="J282" i="22"/>
  <c r="J308" i="22"/>
  <c r="J323" i="23"/>
  <c r="J154" i="22"/>
  <c r="J211" i="22"/>
  <c r="J271" i="22"/>
  <c r="J277" i="22"/>
  <c r="J296" i="22"/>
  <c r="J302" i="22"/>
  <c r="G322" i="22"/>
  <c r="I322" i="22"/>
  <c r="J36" i="22"/>
  <c r="J43" i="22"/>
  <c r="J70" i="22"/>
  <c r="J76" i="22"/>
  <c r="J184" i="22"/>
  <c r="J190" i="22"/>
  <c r="J203" i="22"/>
  <c r="H322" i="22"/>
  <c r="J56" i="22"/>
  <c r="D322" i="22"/>
  <c r="J18" i="22"/>
  <c r="J24" i="22"/>
  <c r="J84" i="22"/>
  <c r="J90" i="22"/>
  <c r="J174" i="22"/>
  <c r="J217" i="22"/>
  <c r="J223" i="22"/>
  <c r="J229" i="22"/>
  <c r="J48" i="22"/>
  <c r="J30" i="22"/>
  <c r="J64" i="22"/>
  <c r="J179" i="22"/>
  <c r="J197" i="22"/>
  <c r="E322" i="22"/>
  <c r="J103" i="22"/>
  <c r="J115" i="22"/>
  <c r="J133" i="22"/>
  <c r="J169" i="22"/>
  <c r="J243" i="22"/>
  <c r="J249" i="22"/>
  <c r="J265" i="22"/>
  <c r="J12" i="22"/>
  <c r="J296" i="19"/>
  <c r="J236" i="19"/>
  <c r="J237" i="19"/>
  <c r="I317" i="20"/>
  <c r="H317" i="20"/>
  <c r="G317" i="20"/>
  <c r="F317" i="20"/>
  <c r="E317" i="20"/>
  <c r="D317" i="20"/>
  <c r="J315" i="20"/>
  <c r="J314" i="20"/>
  <c r="I311" i="20"/>
  <c r="H311" i="20"/>
  <c r="G311" i="20"/>
  <c r="F311" i="20"/>
  <c r="E311" i="20"/>
  <c r="D311" i="20"/>
  <c r="J308" i="20"/>
  <c r="I305" i="20"/>
  <c r="H305" i="20"/>
  <c r="G305" i="20"/>
  <c r="F305" i="20"/>
  <c r="E305" i="20"/>
  <c r="D305" i="20"/>
  <c r="J302" i="20"/>
  <c r="I299" i="20"/>
  <c r="H299" i="20"/>
  <c r="G299" i="20"/>
  <c r="F299" i="20"/>
  <c r="E299" i="20"/>
  <c r="D299" i="20"/>
  <c r="J297" i="20"/>
  <c r="J296" i="20"/>
  <c r="I293" i="20"/>
  <c r="H293" i="20"/>
  <c r="G293" i="20"/>
  <c r="F293" i="20"/>
  <c r="E293" i="20"/>
  <c r="D293" i="20"/>
  <c r="J291" i="20"/>
  <c r="J290" i="20"/>
  <c r="J289" i="20"/>
  <c r="I286" i="20"/>
  <c r="H286" i="20"/>
  <c r="G286" i="20"/>
  <c r="F286" i="20"/>
  <c r="E286" i="20"/>
  <c r="D286" i="20"/>
  <c r="J283" i="20"/>
  <c r="I280" i="20"/>
  <c r="H280" i="20"/>
  <c r="G280" i="20"/>
  <c r="F280" i="20"/>
  <c r="E280" i="20"/>
  <c r="D280" i="20"/>
  <c r="J278" i="20"/>
  <c r="I275" i="20"/>
  <c r="H275" i="20"/>
  <c r="G275" i="20"/>
  <c r="F275" i="20"/>
  <c r="E275" i="20"/>
  <c r="D275" i="20"/>
  <c r="J273" i="20"/>
  <c r="J272" i="20"/>
  <c r="I269" i="20"/>
  <c r="H269" i="20"/>
  <c r="G269" i="20"/>
  <c r="F269" i="20"/>
  <c r="E269" i="20"/>
  <c r="D269" i="20"/>
  <c r="J267" i="20"/>
  <c r="J266" i="20"/>
  <c r="I263" i="20"/>
  <c r="H263" i="20"/>
  <c r="G263" i="20"/>
  <c r="F263" i="20"/>
  <c r="E263" i="20"/>
  <c r="D263" i="20"/>
  <c r="J261" i="20"/>
  <c r="J260" i="20"/>
  <c r="J259" i="20"/>
  <c r="I256" i="20"/>
  <c r="H256" i="20"/>
  <c r="G256" i="20"/>
  <c r="F256" i="20"/>
  <c r="E256" i="20"/>
  <c r="D256" i="20"/>
  <c r="J253" i="20"/>
  <c r="J252" i="20"/>
  <c r="J251" i="20"/>
  <c r="J250" i="20"/>
  <c r="I247" i="20"/>
  <c r="H247" i="20"/>
  <c r="G247" i="20"/>
  <c r="F247" i="20"/>
  <c r="E247" i="20"/>
  <c r="D247" i="20"/>
  <c r="J245" i="20"/>
  <c r="J244" i="20"/>
  <c r="I241" i="20"/>
  <c r="H241" i="20"/>
  <c r="G241" i="20"/>
  <c r="F241" i="20"/>
  <c r="E241" i="20"/>
  <c r="D241" i="20"/>
  <c r="J238" i="20"/>
  <c r="I235" i="20"/>
  <c r="H235" i="20"/>
  <c r="G235" i="20"/>
  <c r="F235" i="20"/>
  <c r="E235" i="20"/>
  <c r="D235" i="20"/>
  <c r="J233" i="20"/>
  <c r="J232" i="20"/>
  <c r="I229" i="20"/>
  <c r="H229" i="20"/>
  <c r="G229" i="20"/>
  <c r="F229" i="20"/>
  <c r="E229" i="20"/>
  <c r="D229" i="20"/>
  <c r="J227" i="20"/>
  <c r="J226" i="20"/>
  <c r="I223" i="20"/>
  <c r="H223" i="20"/>
  <c r="G223" i="20"/>
  <c r="F223" i="20"/>
  <c r="E223" i="20"/>
  <c r="D223" i="20"/>
  <c r="J221" i="20"/>
  <c r="J220" i="20"/>
  <c r="I217" i="20"/>
  <c r="H217" i="20"/>
  <c r="G217" i="20"/>
  <c r="F217" i="20"/>
  <c r="E217" i="20"/>
  <c r="D217" i="20"/>
  <c r="J215" i="20"/>
  <c r="J214" i="20"/>
  <c r="I211" i="20"/>
  <c r="H211" i="20"/>
  <c r="G211" i="20"/>
  <c r="F211" i="20"/>
  <c r="E211" i="20"/>
  <c r="D211" i="20"/>
  <c r="J209" i="20"/>
  <c r="J208" i="20"/>
  <c r="J207" i="20"/>
  <c r="J206" i="20"/>
  <c r="J211" i="20" s="1"/>
  <c r="I203" i="20"/>
  <c r="H203" i="20"/>
  <c r="G203" i="20"/>
  <c r="F203" i="20"/>
  <c r="E203" i="20"/>
  <c r="D203" i="20"/>
  <c r="J200" i="20"/>
  <c r="I197" i="20"/>
  <c r="H197" i="20"/>
  <c r="G197" i="20"/>
  <c r="F197" i="20"/>
  <c r="E197" i="20"/>
  <c r="D197" i="20"/>
  <c r="J195" i="20"/>
  <c r="J194" i="20"/>
  <c r="J193" i="20"/>
  <c r="I190" i="20"/>
  <c r="H190" i="20"/>
  <c r="G190" i="20"/>
  <c r="F190" i="20"/>
  <c r="E190" i="20"/>
  <c r="D190" i="20"/>
  <c r="J188" i="20"/>
  <c r="J187" i="20"/>
  <c r="I184" i="20"/>
  <c r="H184" i="20"/>
  <c r="G184" i="20"/>
  <c r="F184" i="20"/>
  <c r="E184" i="20"/>
  <c r="D184" i="20"/>
  <c r="J182" i="20"/>
  <c r="I179" i="20"/>
  <c r="H179" i="20"/>
  <c r="G179" i="20"/>
  <c r="F179" i="20"/>
  <c r="E179" i="20"/>
  <c r="D179" i="20"/>
  <c r="J177" i="20"/>
  <c r="I174" i="20"/>
  <c r="H174" i="20"/>
  <c r="G174" i="20"/>
  <c r="F174" i="20"/>
  <c r="E174" i="20"/>
  <c r="D174" i="20"/>
  <c r="J172" i="20"/>
  <c r="I169" i="20"/>
  <c r="H169" i="20"/>
  <c r="G169" i="20"/>
  <c r="F169" i="20"/>
  <c r="E169" i="20"/>
  <c r="D169" i="20"/>
  <c r="J167" i="20"/>
  <c r="I164" i="20"/>
  <c r="H164" i="20"/>
  <c r="G164" i="20"/>
  <c r="F164" i="20"/>
  <c r="E164" i="20"/>
  <c r="D164" i="20"/>
  <c r="J162" i="20"/>
  <c r="I159" i="20"/>
  <c r="H159" i="20"/>
  <c r="G159" i="20"/>
  <c r="F159" i="20"/>
  <c r="E159" i="20"/>
  <c r="D159" i="20"/>
  <c r="J157" i="20"/>
  <c r="I154" i="20"/>
  <c r="H154" i="20"/>
  <c r="G154" i="20"/>
  <c r="F154" i="20"/>
  <c r="E154" i="20"/>
  <c r="D154" i="20"/>
  <c r="J154" i="20" s="1"/>
  <c r="J152" i="20"/>
  <c r="J151" i="20"/>
  <c r="J150" i="20"/>
  <c r="J149" i="20"/>
  <c r="I146" i="20"/>
  <c r="H146" i="20"/>
  <c r="G146" i="20"/>
  <c r="F146" i="20"/>
  <c r="E146" i="20"/>
  <c r="D146" i="20"/>
  <c r="J144" i="20"/>
  <c r="J143" i="20"/>
  <c r="I140" i="20"/>
  <c r="H140" i="20"/>
  <c r="G140" i="20"/>
  <c r="F140" i="20"/>
  <c r="E140" i="20"/>
  <c r="D140" i="20"/>
  <c r="J138" i="20"/>
  <c r="J137" i="20"/>
  <c r="J136" i="20"/>
  <c r="I133" i="20"/>
  <c r="H133" i="20"/>
  <c r="G133" i="20"/>
  <c r="F133" i="20"/>
  <c r="E133" i="20"/>
  <c r="D133" i="20"/>
  <c r="J131" i="20"/>
  <c r="I128" i="20"/>
  <c r="H128" i="20"/>
  <c r="G128" i="20"/>
  <c r="F128" i="20"/>
  <c r="E128" i="20"/>
  <c r="D128" i="20"/>
  <c r="J126" i="20"/>
  <c r="J128" i="20" s="1"/>
  <c r="I123" i="20"/>
  <c r="H123" i="20"/>
  <c r="G123" i="20"/>
  <c r="F123" i="20"/>
  <c r="E123" i="20"/>
  <c r="D123" i="20"/>
  <c r="J121" i="20"/>
  <c r="J120" i="20"/>
  <c r="J119" i="20"/>
  <c r="J118" i="20"/>
  <c r="I115" i="20"/>
  <c r="H115" i="20"/>
  <c r="G115" i="20"/>
  <c r="F115" i="20"/>
  <c r="E115" i="20"/>
  <c r="D115" i="20"/>
  <c r="J113" i="20"/>
  <c r="I110" i="20"/>
  <c r="H110" i="20"/>
  <c r="G110" i="20"/>
  <c r="F110" i="20"/>
  <c r="E110" i="20"/>
  <c r="D110" i="20"/>
  <c r="J108" i="20"/>
  <c r="J107" i="20"/>
  <c r="J106" i="20"/>
  <c r="I103" i="20"/>
  <c r="H103" i="20"/>
  <c r="G103" i="20"/>
  <c r="F103" i="20"/>
  <c r="E103" i="20"/>
  <c r="D103" i="20"/>
  <c r="J101" i="20"/>
  <c r="I98" i="20"/>
  <c r="H98" i="20"/>
  <c r="G98" i="20"/>
  <c r="F98" i="20"/>
  <c r="E98" i="20"/>
  <c r="D98" i="20"/>
  <c r="J96" i="20"/>
  <c r="J95" i="20"/>
  <c r="J94" i="20"/>
  <c r="J93" i="20"/>
  <c r="I90" i="20"/>
  <c r="H90" i="20"/>
  <c r="G90" i="20"/>
  <c r="F90" i="20"/>
  <c r="E90" i="20"/>
  <c r="D90" i="20"/>
  <c r="J88" i="20"/>
  <c r="J87" i="20"/>
  <c r="I84" i="20"/>
  <c r="H84" i="20"/>
  <c r="G84" i="20"/>
  <c r="F84" i="20"/>
  <c r="E84" i="20"/>
  <c r="D84" i="20"/>
  <c r="J82" i="20"/>
  <c r="J81" i="20"/>
  <c r="J80" i="20"/>
  <c r="J79" i="20"/>
  <c r="I76" i="20"/>
  <c r="H76" i="20"/>
  <c r="G76" i="20"/>
  <c r="F76" i="20"/>
  <c r="E76" i="20"/>
  <c r="D76" i="20"/>
  <c r="J74" i="20"/>
  <c r="J73" i="20"/>
  <c r="I70" i="20"/>
  <c r="H70" i="20"/>
  <c r="G70" i="20"/>
  <c r="F70" i="20"/>
  <c r="E70" i="20"/>
  <c r="D70" i="20"/>
  <c r="J67" i="20"/>
  <c r="I64" i="20"/>
  <c r="H64" i="20"/>
  <c r="G64" i="20"/>
  <c r="F64" i="20"/>
  <c r="E64" i="20"/>
  <c r="D64" i="20"/>
  <c r="J62" i="20"/>
  <c r="J61" i="20"/>
  <c r="J60" i="20"/>
  <c r="J59" i="20"/>
  <c r="I56" i="20"/>
  <c r="H56" i="20"/>
  <c r="G56" i="20"/>
  <c r="F56" i="20"/>
  <c r="E56" i="20"/>
  <c r="D56" i="20"/>
  <c r="J54" i="20"/>
  <c r="J53" i="20"/>
  <c r="I48" i="20"/>
  <c r="H48" i="20"/>
  <c r="G48" i="20"/>
  <c r="F48" i="20"/>
  <c r="E48" i="20"/>
  <c r="D48" i="20"/>
  <c r="J46" i="20"/>
  <c r="I43" i="20"/>
  <c r="H43" i="20"/>
  <c r="G43" i="20"/>
  <c r="F43" i="20"/>
  <c r="E43" i="20"/>
  <c r="D43" i="20"/>
  <c r="J41" i="20"/>
  <c r="J40" i="20"/>
  <c r="I36" i="20"/>
  <c r="H36" i="20"/>
  <c r="G36" i="20"/>
  <c r="F36" i="20"/>
  <c r="E36" i="20"/>
  <c r="D36" i="20"/>
  <c r="J34" i="20"/>
  <c r="I30" i="20"/>
  <c r="H30" i="20"/>
  <c r="G30" i="20"/>
  <c r="F30" i="20"/>
  <c r="E30" i="20"/>
  <c r="D30" i="20"/>
  <c r="J28" i="20"/>
  <c r="I24" i="20"/>
  <c r="H24" i="20"/>
  <c r="G24" i="20"/>
  <c r="F24" i="20"/>
  <c r="E24" i="20"/>
  <c r="D24" i="20"/>
  <c r="J22" i="20"/>
  <c r="J21" i="20"/>
  <c r="I18" i="20"/>
  <c r="H18" i="20"/>
  <c r="G18" i="20"/>
  <c r="F18" i="20"/>
  <c r="E18" i="20"/>
  <c r="D18" i="20"/>
  <c r="J16" i="20"/>
  <c r="J15" i="20"/>
  <c r="I12" i="20"/>
  <c r="H12" i="20"/>
  <c r="G12" i="20"/>
  <c r="F12" i="20"/>
  <c r="E12" i="20"/>
  <c r="D12" i="20"/>
  <c r="J10" i="20"/>
  <c r="J9" i="20"/>
  <c r="J256" i="19"/>
  <c r="J257" i="19"/>
  <c r="J258" i="19"/>
  <c r="I323" i="19"/>
  <c r="H323" i="19"/>
  <c r="G323" i="19"/>
  <c r="F323" i="19"/>
  <c r="E323" i="19"/>
  <c r="D323" i="19"/>
  <c r="J321" i="19"/>
  <c r="J320" i="19"/>
  <c r="I317" i="19"/>
  <c r="H317" i="19"/>
  <c r="G317" i="19"/>
  <c r="F317" i="19"/>
  <c r="E317" i="19"/>
  <c r="D317" i="19"/>
  <c r="J314" i="19"/>
  <c r="I311" i="19"/>
  <c r="H311" i="19"/>
  <c r="G311" i="19"/>
  <c r="F311" i="19"/>
  <c r="E311" i="19"/>
  <c r="D311" i="19"/>
  <c r="J308" i="19"/>
  <c r="I305" i="19"/>
  <c r="H305" i="19"/>
  <c r="G305" i="19"/>
  <c r="F305" i="19"/>
  <c r="E305" i="19"/>
  <c r="D305" i="19"/>
  <c r="J303" i="19"/>
  <c r="J302" i="19"/>
  <c r="I299" i="19"/>
  <c r="H299" i="19"/>
  <c r="G299" i="19"/>
  <c r="F299" i="19"/>
  <c r="E299" i="19"/>
  <c r="D299" i="19"/>
  <c r="J297" i="19"/>
  <c r="J295" i="19"/>
  <c r="J294" i="19"/>
  <c r="I291" i="19"/>
  <c r="H291" i="19"/>
  <c r="G291" i="19"/>
  <c r="F291" i="19"/>
  <c r="E291" i="19"/>
  <c r="D291" i="19"/>
  <c r="J288" i="19"/>
  <c r="I285" i="19"/>
  <c r="H285" i="19"/>
  <c r="G285" i="19"/>
  <c r="F285" i="19"/>
  <c r="E285" i="19"/>
  <c r="D285" i="19"/>
  <c r="J283" i="19"/>
  <c r="I280" i="19"/>
  <c r="H280" i="19"/>
  <c r="G280" i="19"/>
  <c r="F280" i="19"/>
  <c r="E280" i="19"/>
  <c r="D280" i="19"/>
  <c r="J278" i="19"/>
  <c r="J277" i="19"/>
  <c r="I274" i="19"/>
  <c r="H274" i="19"/>
  <c r="G274" i="19"/>
  <c r="F274" i="19"/>
  <c r="E274" i="19"/>
  <c r="D274" i="19"/>
  <c r="J272" i="19"/>
  <c r="J271" i="19"/>
  <c r="I268" i="19"/>
  <c r="H268" i="19"/>
  <c r="G268" i="19"/>
  <c r="F268" i="19"/>
  <c r="E268" i="19"/>
  <c r="D268" i="19"/>
  <c r="J266" i="19"/>
  <c r="J265" i="19"/>
  <c r="J264" i="19"/>
  <c r="I261" i="19"/>
  <c r="H261" i="19"/>
  <c r="G261" i="19"/>
  <c r="F261" i="19"/>
  <c r="E261" i="19"/>
  <c r="D261" i="19"/>
  <c r="J255" i="19"/>
  <c r="I252" i="19"/>
  <c r="H252" i="19"/>
  <c r="G252" i="19"/>
  <c r="F252" i="19"/>
  <c r="E252" i="19"/>
  <c r="D252" i="19"/>
  <c r="J250" i="19"/>
  <c r="J249" i="19"/>
  <c r="I246" i="19"/>
  <c r="H246" i="19"/>
  <c r="G246" i="19"/>
  <c r="F246" i="19"/>
  <c r="E246" i="19"/>
  <c r="D246" i="19"/>
  <c r="J243" i="19"/>
  <c r="I240" i="19"/>
  <c r="H240" i="19"/>
  <c r="G240" i="19"/>
  <c r="F240" i="19"/>
  <c r="E240" i="19"/>
  <c r="D240" i="19"/>
  <c r="J238" i="19"/>
  <c r="J235" i="19"/>
  <c r="I232" i="19"/>
  <c r="H232" i="19"/>
  <c r="G232" i="19"/>
  <c r="F232" i="19"/>
  <c r="E232" i="19"/>
  <c r="D232" i="19"/>
  <c r="J230" i="19"/>
  <c r="J229" i="19"/>
  <c r="I226" i="19"/>
  <c r="H226" i="19"/>
  <c r="G226" i="19"/>
  <c r="F226" i="19"/>
  <c r="E226" i="19"/>
  <c r="D226" i="19"/>
  <c r="J224" i="19"/>
  <c r="J223" i="19"/>
  <c r="I220" i="19"/>
  <c r="H220" i="19"/>
  <c r="G220" i="19"/>
  <c r="F220" i="19"/>
  <c r="E220" i="19"/>
  <c r="D220" i="19"/>
  <c r="J218" i="19"/>
  <c r="J217" i="19"/>
  <c r="I214" i="19"/>
  <c r="H214" i="19"/>
  <c r="G214" i="19"/>
  <c r="F214" i="19"/>
  <c r="E214" i="19"/>
  <c r="D214" i="19"/>
  <c r="J212" i="19"/>
  <c r="J211" i="19"/>
  <c r="J210" i="19"/>
  <c r="J209" i="19"/>
  <c r="I206" i="19"/>
  <c r="H206" i="19"/>
  <c r="G206" i="19"/>
  <c r="F206" i="19"/>
  <c r="E206" i="19"/>
  <c r="D206" i="19"/>
  <c r="J203" i="19"/>
  <c r="I200" i="19"/>
  <c r="H200" i="19"/>
  <c r="G200" i="19"/>
  <c r="F200" i="19"/>
  <c r="E200" i="19"/>
  <c r="D200" i="19"/>
  <c r="J198" i="19"/>
  <c r="J197" i="19"/>
  <c r="J196" i="19"/>
  <c r="I193" i="19"/>
  <c r="H193" i="19"/>
  <c r="G193" i="19"/>
  <c r="F193" i="19"/>
  <c r="E193" i="19"/>
  <c r="D193" i="19"/>
  <c r="J191" i="19"/>
  <c r="J190" i="19"/>
  <c r="I187" i="19"/>
  <c r="H187" i="19"/>
  <c r="G187" i="19"/>
  <c r="F187" i="19"/>
  <c r="E187" i="19"/>
  <c r="D187" i="19"/>
  <c r="J185" i="19"/>
  <c r="I182" i="19"/>
  <c r="H182" i="19"/>
  <c r="G182" i="19"/>
  <c r="F182" i="19"/>
  <c r="E182" i="19"/>
  <c r="D182" i="19"/>
  <c r="J180" i="19"/>
  <c r="I177" i="19"/>
  <c r="H177" i="19"/>
  <c r="G177" i="19"/>
  <c r="F177" i="19"/>
  <c r="E177" i="19"/>
  <c r="D177" i="19"/>
  <c r="J175" i="19"/>
  <c r="I172" i="19"/>
  <c r="H172" i="19"/>
  <c r="G172" i="19"/>
  <c r="F172" i="19"/>
  <c r="E172" i="19"/>
  <c r="D172" i="19"/>
  <c r="J170" i="19"/>
  <c r="I167" i="19"/>
  <c r="H167" i="19"/>
  <c r="G167" i="19"/>
  <c r="F167" i="19"/>
  <c r="E167" i="19"/>
  <c r="D167" i="19"/>
  <c r="J164" i="19"/>
  <c r="I161" i="19"/>
  <c r="H161" i="19"/>
  <c r="G161" i="19"/>
  <c r="F161" i="19"/>
  <c r="E161" i="19"/>
  <c r="D161" i="19"/>
  <c r="J159" i="19"/>
  <c r="I156" i="19"/>
  <c r="H156" i="19"/>
  <c r="G156" i="19"/>
  <c r="F156" i="19"/>
  <c r="E156" i="19"/>
  <c r="D156" i="19"/>
  <c r="J154" i="19"/>
  <c r="J153" i="19"/>
  <c r="J152" i="19"/>
  <c r="J151" i="19"/>
  <c r="I148" i="19"/>
  <c r="H148" i="19"/>
  <c r="G148" i="19"/>
  <c r="F148" i="19"/>
  <c r="E148" i="19"/>
  <c r="D148" i="19"/>
  <c r="J146" i="19"/>
  <c r="J145" i="19"/>
  <c r="I142" i="19"/>
  <c r="H142" i="19"/>
  <c r="G142" i="19"/>
  <c r="F142" i="19"/>
  <c r="E142" i="19"/>
  <c r="D142" i="19"/>
  <c r="J140" i="19"/>
  <c r="J139" i="19"/>
  <c r="J138" i="19"/>
  <c r="I135" i="19"/>
  <c r="H135" i="19"/>
  <c r="G135" i="19"/>
  <c r="F135" i="19"/>
  <c r="E135" i="19"/>
  <c r="D135" i="19"/>
  <c r="J133" i="19"/>
  <c r="I130" i="19"/>
  <c r="H130" i="19"/>
  <c r="G130" i="19"/>
  <c r="F130" i="19"/>
  <c r="E130" i="19"/>
  <c r="D130" i="19"/>
  <c r="J128" i="19"/>
  <c r="J130" i="19" s="1"/>
  <c r="I125" i="19"/>
  <c r="H125" i="19"/>
  <c r="G125" i="19"/>
  <c r="F125" i="19"/>
  <c r="E125" i="19"/>
  <c r="D125" i="19"/>
  <c r="J123" i="19"/>
  <c r="J122" i="19"/>
  <c r="J121" i="19"/>
  <c r="J120" i="19"/>
  <c r="I117" i="19"/>
  <c r="H117" i="19"/>
  <c r="G117" i="19"/>
  <c r="F117" i="19"/>
  <c r="E117" i="19"/>
  <c r="D117" i="19"/>
  <c r="J115" i="19"/>
  <c r="I112" i="19"/>
  <c r="H112" i="19"/>
  <c r="G112" i="19"/>
  <c r="F112" i="19"/>
  <c r="E112" i="19"/>
  <c r="D112" i="19"/>
  <c r="J110" i="19"/>
  <c r="J109" i="19"/>
  <c r="J108" i="19"/>
  <c r="I105" i="19"/>
  <c r="H105" i="19"/>
  <c r="G105" i="19"/>
  <c r="F105" i="19"/>
  <c r="E105" i="19"/>
  <c r="D105" i="19"/>
  <c r="J102" i="19"/>
  <c r="I99" i="19"/>
  <c r="H99" i="19"/>
  <c r="G99" i="19"/>
  <c r="F99" i="19"/>
  <c r="E99" i="19"/>
  <c r="D99" i="19"/>
  <c r="J97" i="19"/>
  <c r="J96" i="19"/>
  <c r="J95" i="19"/>
  <c r="J94" i="19"/>
  <c r="I91" i="19"/>
  <c r="H91" i="19"/>
  <c r="G91" i="19"/>
  <c r="F91" i="19"/>
  <c r="E91" i="19"/>
  <c r="D91" i="19"/>
  <c r="J89" i="19"/>
  <c r="J88" i="19"/>
  <c r="I85" i="19"/>
  <c r="H85" i="19"/>
  <c r="G85" i="19"/>
  <c r="F85" i="19"/>
  <c r="E85" i="19"/>
  <c r="D85" i="19"/>
  <c r="J83" i="19"/>
  <c r="J82" i="19"/>
  <c r="J81" i="19"/>
  <c r="J80" i="19"/>
  <c r="I77" i="19"/>
  <c r="H77" i="19"/>
  <c r="G77" i="19"/>
  <c r="F77" i="19"/>
  <c r="E77" i="19"/>
  <c r="D77" i="19"/>
  <c r="J75" i="19"/>
  <c r="J74" i="19"/>
  <c r="I71" i="19"/>
  <c r="H71" i="19"/>
  <c r="G71" i="19"/>
  <c r="F71" i="19"/>
  <c r="E71" i="19"/>
  <c r="D71" i="19"/>
  <c r="J68" i="19"/>
  <c r="I65" i="19"/>
  <c r="H65" i="19"/>
  <c r="G65" i="19"/>
  <c r="F65" i="19"/>
  <c r="E65" i="19"/>
  <c r="D65" i="19"/>
  <c r="J63" i="19"/>
  <c r="J61" i="19"/>
  <c r="J60" i="19"/>
  <c r="J59" i="19"/>
  <c r="I56" i="19"/>
  <c r="H56" i="19"/>
  <c r="G56" i="19"/>
  <c r="F56" i="19"/>
  <c r="E56" i="19"/>
  <c r="D56" i="19"/>
  <c r="J54" i="19"/>
  <c r="J53" i="19"/>
  <c r="I48" i="19"/>
  <c r="H48" i="19"/>
  <c r="G48" i="19"/>
  <c r="F48" i="19"/>
  <c r="E48" i="19"/>
  <c r="D48" i="19"/>
  <c r="J46" i="19"/>
  <c r="I43" i="19"/>
  <c r="H43" i="19"/>
  <c r="G43" i="19"/>
  <c r="F43" i="19"/>
  <c r="E43" i="19"/>
  <c r="D43" i="19"/>
  <c r="J41" i="19"/>
  <c r="J40" i="19"/>
  <c r="I36" i="19"/>
  <c r="H36" i="19"/>
  <c r="G36" i="19"/>
  <c r="F36" i="19"/>
  <c r="E36" i="19"/>
  <c r="D36" i="19"/>
  <c r="J34" i="19"/>
  <c r="I30" i="19"/>
  <c r="H30" i="19"/>
  <c r="G30" i="19"/>
  <c r="F30" i="19"/>
  <c r="E30" i="19"/>
  <c r="D30" i="19"/>
  <c r="J28" i="19"/>
  <c r="I24" i="19"/>
  <c r="H24" i="19"/>
  <c r="G24" i="19"/>
  <c r="F24" i="19"/>
  <c r="E24" i="19"/>
  <c r="D24" i="19"/>
  <c r="J22" i="19"/>
  <c r="J21" i="19"/>
  <c r="I18" i="19"/>
  <c r="H18" i="19"/>
  <c r="G18" i="19"/>
  <c r="F18" i="19"/>
  <c r="E18" i="19"/>
  <c r="D18" i="19"/>
  <c r="J16" i="19"/>
  <c r="J15" i="19"/>
  <c r="I12" i="19"/>
  <c r="H12" i="19"/>
  <c r="G12" i="19"/>
  <c r="F12" i="19"/>
  <c r="E12" i="19"/>
  <c r="D12" i="19"/>
  <c r="J10" i="19"/>
  <c r="J9" i="19"/>
  <c r="J137" i="10"/>
  <c r="J94" i="10"/>
  <c r="J107" i="10"/>
  <c r="I311" i="18"/>
  <c r="H311" i="18"/>
  <c r="G311" i="18"/>
  <c r="F311" i="18"/>
  <c r="E311" i="18"/>
  <c r="D311" i="18"/>
  <c r="J309" i="18"/>
  <c r="J308" i="18"/>
  <c r="I305" i="18"/>
  <c r="H305" i="18"/>
  <c r="G305" i="18"/>
  <c r="F305" i="18"/>
  <c r="E305" i="18"/>
  <c r="D305" i="18"/>
  <c r="J302" i="18"/>
  <c r="I299" i="18"/>
  <c r="H299" i="18"/>
  <c r="G299" i="18"/>
  <c r="F299" i="18"/>
  <c r="E299" i="18"/>
  <c r="D299" i="18"/>
  <c r="J296" i="18"/>
  <c r="I293" i="18"/>
  <c r="H293" i="18"/>
  <c r="G293" i="18"/>
  <c r="F293" i="18"/>
  <c r="E293" i="18"/>
  <c r="D293" i="18"/>
  <c r="J291" i="18"/>
  <c r="J290" i="18"/>
  <c r="I287" i="18"/>
  <c r="H287" i="18"/>
  <c r="G287" i="18"/>
  <c r="F287" i="18"/>
  <c r="E287" i="18"/>
  <c r="D287" i="18"/>
  <c r="J285" i="18"/>
  <c r="J284" i="18"/>
  <c r="J283" i="18"/>
  <c r="I280" i="18"/>
  <c r="H280" i="18"/>
  <c r="G280" i="18"/>
  <c r="F280" i="18"/>
  <c r="E280" i="18"/>
  <c r="D280" i="18"/>
  <c r="J277" i="18"/>
  <c r="I274" i="18"/>
  <c r="H274" i="18"/>
  <c r="G274" i="18"/>
  <c r="F274" i="18"/>
  <c r="E274" i="18"/>
  <c r="D274" i="18"/>
  <c r="J272" i="18"/>
  <c r="I269" i="18"/>
  <c r="H269" i="18"/>
  <c r="G269" i="18"/>
  <c r="F269" i="18"/>
  <c r="E269" i="18"/>
  <c r="D269" i="18"/>
  <c r="J267" i="18"/>
  <c r="J266" i="18"/>
  <c r="I263" i="18"/>
  <c r="H263" i="18"/>
  <c r="G263" i="18"/>
  <c r="F263" i="18"/>
  <c r="E263" i="18"/>
  <c r="D263" i="18"/>
  <c r="J261" i="18"/>
  <c r="J260" i="18"/>
  <c r="I257" i="18"/>
  <c r="H257" i="18"/>
  <c r="G257" i="18"/>
  <c r="F257" i="18"/>
  <c r="E257" i="18"/>
  <c r="D257" i="18"/>
  <c r="J255" i="18"/>
  <c r="J254" i="18"/>
  <c r="J253" i="18"/>
  <c r="I250" i="18"/>
  <c r="H250" i="18"/>
  <c r="G250" i="18"/>
  <c r="F250" i="18"/>
  <c r="E250" i="18"/>
  <c r="D250" i="18"/>
  <c r="J248" i="18"/>
  <c r="I245" i="18"/>
  <c r="H245" i="18"/>
  <c r="G245" i="18"/>
  <c r="F245" i="18"/>
  <c r="E245" i="18"/>
  <c r="J243" i="18"/>
  <c r="D242" i="18"/>
  <c r="I239" i="18"/>
  <c r="H239" i="18"/>
  <c r="G239" i="18"/>
  <c r="F239" i="18"/>
  <c r="E239" i="18"/>
  <c r="D239" i="18"/>
  <c r="J236" i="18"/>
  <c r="I233" i="18"/>
  <c r="H233" i="18"/>
  <c r="G233" i="18"/>
  <c r="F233" i="18"/>
  <c r="E233" i="18"/>
  <c r="D233" i="18"/>
  <c r="J231" i="18"/>
  <c r="J230" i="18"/>
  <c r="I227" i="18"/>
  <c r="H227" i="18"/>
  <c r="G227" i="18"/>
  <c r="F227" i="18"/>
  <c r="E227" i="18"/>
  <c r="D227" i="18"/>
  <c r="J225" i="18"/>
  <c r="J224" i="18"/>
  <c r="I221" i="18"/>
  <c r="H221" i="18"/>
  <c r="G221" i="18"/>
  <c r="F221" i="18"/>
  <c r="E221" i="18"/>
  <c r="D221" i="18"/>
  <c r="J219" i="18"/>
  <c r="J218" i="18"/>
  <c r="I215" i="18"/>
  <c r="H215" i="18"/>
  <c r="G215" i="18"/>
  <c r="F215" i="18"/>
  <c r="E215" i="18"/>
  <c r="D215" i="18"/>
  <c r="J213" i="18"/>
  <c r="J212" i="18"/>
  <c r="I209" i="18"/>
  <c r="H209" i="18"/>
  <c r="G209" i="18"/>
  <c r="F209" i="18"/>
  <c r="E209" i="18"/>
  <c r="D209" i="18"/>
  <c r="J207" i="18"/>
  <c r="J206" i="18"/>
  <c r="J205" i="18"/>
  <c r="J204" i="18"/>
  <c r="I201" i="18"/>
  <c r="H201" i="18"/>
  <c r="G201" i="18"/>
  <c r="F201" i="18"/>
  <c r="E201" i="18"/>
  <c r="D201" i="18"/>
  <c r="J198" i="18"/>
  <c r="I195" i="18"/>
  <c r="H195" i="18"/>
  <c r="G195" i="18"/>
  <c r="F195" i="18"/>
  <c r="E195" i="18"/>
  <c r="D195" i="18"/>
  <c r="J193" i="18"/>
  <c r="J192" i="18"/>
  <c r="J191" i="18"/>
  <c r="I188" i="18"/>
  <c r="H188" i="18"/>
  <c r="G188" i="18"/>
  <c r="F188" i="18"/>
  <c r="E188" i="18"/>
  <c r="D188" i="18"/>
  <c r="J186" i="18"/>
  <c r="J185" i="18"/>
  <c r="I182" i="18"/>
  <c r="H182" i="18"/>
  <c r="G182" i="18"/>
  <c r="F182" i="18"/>
  <c r="E182" i="18"/>
  <c r="D182" i="18"/>
  <c r="J180" i="18"/>
  <c r="I177" i="18"/>
  <c r="H177" i="18"/>
  <c r="G177" i="18"/>
  <c r="F177" i="18"/>
  <c r="E177" i="18"/>
  <c r="D177" i="18"/>
  <c r="J175" i="18"/>
  <c r="I172" i="18"/>
  <c r="H172" i="18"/>
  <c r="G172" i="18"/>
  <c r="F172" i="18"/>
  <c r="E172" i="18"/>
  <c r="D172" i="18"/>
  <c r="J170" i="18"/>
  <c r="I167" i="18"/>
  <c r="H167" i="18"/>
  <c r="G167" i="18"/>
  <c r="F167" i="18"/>
  <c r="E167" i="18"/>
  <c r="D167" i="18"/>
  <c r="J165" i="18"/>
  <c r="I162" i="18"/>
  <c r="H162" i="18"/>
  <c r="G162" i="18"/>
  <c r="F162" i="18"/>
  <c r="E162" i="18"/>
  <c r="D162" i="18"/>
  <c r="J160" i="18"/>
  <c r="I157" i="18"/>
  <c r="H157" i="18"/>
  <c r="G157" i="18"/>
  <c r="F157" i="18"/>
  <c r="E157" i="18"/>
  <c r="D157" i="18"/>
  <c r="J155" i="18"/>
  <c r="I152" i="18"/>
  <c r="H152" i="18"/>
  <c r="G152" i="18"/>
  <c r="F152" i="18"/>
  <c r="E152" i="18"/>
  <c r="D152" i="18"/>
  <c r="J150" i="18"/>
  <c r="J149" i="18"/>
  <c r="J148" i="18"/>
  <c r="J147" i="18"/>
  <c r="I144" i="18"/>
  <c r="H144" i="18"/>
  <c r="G144" i="18"/>
  <c r="F144" i="18"/>
  <c r="E144" i="18"/>
  <c r="D144" i="18"/>
  <c r="J142" i="18"/>
  <c r="J141" i="18"/>
  <c r="I138" i="18"/>
  <c r="H138" i="18"/>
  <c r="G138" i="18"/>
  <c r="F138" i="18"/>
  <c r="E138" i="18"/>
  <c r="D138" i="18"/>
  <c r="J136" i="18"/>
  <c r="J135" i="18"/>
  <c r="I132" i="18"/>
  <c r="H132" i="18"/>
  <c r="G132" i="18"/>
  <c r="F132" i="18"/>
  <c r="E132" i="18"/>
  <c r="D132" i="18"/>
  <c r="J130" i="18"/>
  <c r="I127" i="18"/>
  <c r="H127" i="18"/>
  <c r="G127" i="18"/>
  <c r="F127" i="18"/>
  <c r="E127" i="18"/>
  <c r="D127" i="18"/>
  <c r="J125" i="18"/>
  <c r="J127" i="18" s="1"/>
  <c r="I122" i="18"/>
  <c r="H122" i="18"/>
  <c r="G122" i="18"/>
  <c r="F122" i="18"/>
  <c r="E122" i="18"/>
  <c r="D122" i="18"/>
  <c r="J120" i="18"/>
  <c r="J119" i="18"/>
  <c r="J118" i="18"/>
  <c r="J117" i="18"/>
  <c r="I114" i="18"/>
  <c r="H114" i="18"/>
  <c r="G114" i="18"/>
  <c r="F114" i="18"/>
  <c r="E114" i="18"/>
  <c r="D114" i="18"/>
  <c r="J112" i="18"/>
  <c r="I109" i="18"/>
  <c r="H109" i="18"/>
  <c r="G109" i="18"/>
  <c r="F109" i="18"/>
  <c r="E109" i="18"/>
  <c r="D109" i="18"/>
  <c r="J107" i="18"/>
  <c r="J106" i="18"/>
  <c r="I103" i="18"/>
  <c r="H103" i="18"/>
  <c r="G103" i="18"/>
  <c r="F103" i="18"/>
  <c r="E103" i="18"/>
  <c r="D103" i="18"/>
  <c r="J101" i="18"/>
  <c r="I98" i="18"/>
  <c r="H98" i="18"/>
  <c r="G98" i="18"/>
  <c r="F98" i="18"/>
  <c r="E98" i="18"/>
  <c r="D98" i="18"/>
  <c r="J96" i="18"/>
  <c r="J95" i="18"/>
  <c r="J93" i="18"/>
  <c r="I90" i="18"/>
  <c r="H90" i="18"/>
  <c r="G90" i="18"/>
  <c r="F90" i="18"/>
  <c r="E90" i="18"/>
  <c r="D90" i="18"/>
  <c r="J88" i="18"/>
  <c r="J87" i="18"/>
  <c r="I84" i="18"/>
  <c r="H84" i="18"/>
  <c r="G84" i="18"/>
  <c r="F84" i="18"/>
  <c r="E84" i="18"/>
  <c r="D84" i="18"/>
  <c r="J82" i="18"/>
  <c r="J81" i="18"/>
  <c r="J80" i="18"/>
  <c r="J79" i="18"/>
  <c r="I76" i="18"/>
  <c r="H76" i="18"/>
  <c r="G76" i="18"/>
  <c r="F76" i="18"/>
  <c r="E76" i="18"/>
  <c r="D76" i="18"/>
  <c r="J74" i="18"/>
  <c r="J73" i="18"/>
  <c r="I70" i="18"/>
  <c r="H70" i="18"/>
  <c r="G70" i="18"/>
  <c r="F70" i="18"/>
  <c r="E70" i="18"/>
  <c r="D70" i="18"/>
  <c r="J67" i="18"/>
  <c r="I64" i="18"/>
  <c r="H64" i="18"/>
  <c r="G64" i="18"/>
  <c r="F64" i="18"/>
  <c r="E64" i="18"/>
  <c r="D64" i="18"/>
  <c r="J62" i="18"/>
  <c r="J61" i="18"/>
  <c r="J60" i="18"/>
  <c r="J59" i="18"/>
  <c r="I56" i="18"/>
  <c r="H56" i="18"/>
  <c r="G56" i="18"/>
  <c r="F56" i="18"/>
  <c r="E56" i="18"/>
  <c r="D56" i="18"/>
  <c r="J54" i="18"/>
  <c r="J53" i="18"/>
  <c r="I48" i="18"/>
  <c r="H48" i="18"/>
  <c r="G48" i="18"/>
  <c r="F48" i="18"/>
  <c r="E48" i="18"/>
  <c r="D48" i="18"/>
  <c r="J46" i="18"/>
  <c r="I43" i="18"/>
  <c r="H43" i="18"/>
  <c r="G43" i="18"/>
  <c r="F43" i="18"/>
  <c r="E43" i="18"/>
  <c r="D43" i="18"/>
  <c r="J41" i="18"/>
  <c r="J40" i="18"/>
  <c r="I36" i="18"/>
  <c r="H36" i="18"/>
  <c r="G36" i="18"/>
  <c r="F36" i="18"/>
  <c r="E36" i="18"/>
  <c r="D36" i="18"/>
  <c r="J34" i="18"/>
  <c r="I30" i="18"/>
  <c r="H30" i="18"/>
  <c r="G30" i="18"/>
  <c r="F30" i="18"/>
  <c r="E30" i="18"/>
  <c r="J30" i="18" s="1"/>
  <c r="D30" i="18"/>
  <c r="J28" i="18"/>
  <c r="I24" i="18"/>
  <c r="H24" i="18"/>
  <c r="G24" i="18"/>
  <c r="F24" i="18"/>
  <c r="E24" i="18"/>
  <c r="D24" i="18"/>
  <c r="J22" i="18"/>
  <c r="J21" i="18"/>
  <c r="I18" i="18"/>
  <c r="H18" i="18"/>
  <c r="G18" i="18"/>
  <c r="F18" i="18"/>
  <c r="E18" i="18"/>
  <c r="D18" i="18"/>
  <c r="J16" i="18"/>
  <c r="J15" i="18"/>
  <c r="I12" i="18"/>
  <c r="H12" i="18"/>
  <c r="G12" i="18"/>
  <c r="F12" i="18"/>
  <c r="E12" i="18"/>
  <c r="D12" i="18"/>
  <c r="J10" i="18"/>
  <c r="J9" i="18"/>
  <c r="J9" i="17"/>
  <c r="J10" i="17"/>
  <c r="D12" i="17"/>
  <c r="E12" i="17"/>
  <c r="F12" i="17"/>
  <c r="G12" i="17"/>
  <c r="H12" i="17"/>
  <c r="I12" i="17"/>
  <c r="J15" i="17"/>
  <c r="J16" i="17"/>
  <c r="D18" i="17"/>
  <c r="E18" i="17"/>
  <c r="F18" i="17"/>
  <c r="G18" i="17"/>
  <c r="H18" i="17"/>
  <c r="I18" i="17"/>
  <c r="J21" i="17"/>
  <c r="J22" i="17"/>
  <c r="D24" i="17"/>
  <c r="E24" i="17"/>
  <c r="F24" i="17"/>
  <c r="G24" i="17"/>
  <c r="H24" i="17"/>
  <c r="I24" i="17"/>
  <c r="J28" i="17"/>
  <c r="D30" i="17"/>
  <c r="E30" i="17"/>
  <c r="F30" i="17"/>
  <c r="G30" i="17"/>
  <c r="H30" i="17"/>
  <c r="I30" i="17"/>
  <c r="J34" i="17"/>
  <c r="D36" i="17"/>
  <c r="E36" i="17"/>
  <c r="F36" i="17"/>
  <c r="G36" i="17"/>
  <c r="H36" i="17"/>
  <c r="I36" i="17"/>
  <c r="J40" i="17"/>
  <c r="J41" i="17"/>
  <c r="D43" i="17"/>
  <c r="E43" i="17"/>
  <c r="F43" i="17"/>
  <c r="G43" i="17"/>
  <c r="H43" i="17"/>
  <c r="I43" i="17"/>
  <c r="J46" i="17"/>
  <c r="D48" i="17"/>
  <c r="E48" i="17"/>
  <c r="F48" i="17"/>
  <c r="G48" i="17"/>
  <c r="H48" i="17"/>
  <c r="I48" i="17"/>
  <c r="J53" i="17"/>
  <c r="J54" i="17"/>
  <c r="D56" i="17"/>
  <c r="E56" i="17"/>
  <c r="F56" i="17"/>
  <c r="G56" i="17"/>
  <c r="H56" i="17"/>
  <c r="I56" i="17"/>
  <c r="J59" i="17"/>
  <c r="J60" i="17"/>
  <c r="J61" i="17"/>
  <c r="J62" i="17"/>
  <c r="D64" i="17"/>
  <c r="E64" i="17"/>
  <c r="F64" i="17"/>
  <c r="G64" i="17"/>
  <c r="H64" i="17"/>
  <c r="I64" i="17"/>
  <c r="J67" i="17"/>
  <c r="D70" i="17"/>
  <c r="E70" i="17"/>
  <c r="F70" i="17"/>
  <c r="G70" i="17"/>
  <c r="H70" i="17"/>
  <c r="I70" i="17"/>
  <c r="J73" i="17"/>
  <c r="J74" i="17"/>
  <c r="D76" i="17"/>
  <c r="E76" i="17"/>
  <c r="F76" i="17"/>
  <c r="G76" i="17"/>
  <c r="H76" i="17"/>
  <c r="I76" i="17"/>
  <c r="J79" i="17"/>
  <c r="J80" i="17"/>
  <c r="J81" i="17"/>
  <c r="J82" i="17"/>
  <c r="D84" i="17"/>
  <c r="E84" i="17"/>
  <c r="F84" i="17"/>
  <c r="G84" i="17"/>
  <c r="H84" i="17"/>
  <c r="I84" i="17"/>
  <c r="J87" i="17"/>
  <c r="J88" i="17"/>
  <c r="D90" i="17"/>
  <c r="E90" i="17"/>
  <c r="F90" i="17"/>
  <c r="G90" i="17"/>
  <c r="H90" i="17"/>
  <c r="I90" i="17"/>
  <c r="J93" i="17"/>
  <c r="J95" i="17"/>
  <c r="J96" i="17"/>
  <c r="D98" i="17"/>
  <c r="E98" i="17"/>
  <c r="F98" i="17"/>
  <c r="G98" i="17"/>
  <c r="H98" i="17"/>
  <c r="I98" i="17"/>
  <c r="J101" i="17"/>
  <c r="D103" i="17"/>
  <c r="E103" i="17"/>
  <c r="F103" i="17"/>
  <c r="G103" i="17"/>
  <c r="H103" i="17"/>
  <c r="I103" i="17"/>
  <c r="J106" i="17"/>
  <c r="J107" i="17"/>
  <c r="D109" i="17"/>
  <c r="E109" i="17"/>
  <c r="F109" i="17"/>
  <c r="G109" i="17"/>
  <c r="H109" i="17"/>
  <c r="I109" i="17"/>
  <c r="J112" i="17"/>
  <c r="D114" i="17"/>
  <c r="E114" i="17"/>
  <c r="F114" i="17"/>
  <c r="G114" i="17"/>
  <c r="H114" i="17"/>
  <c r="I114" i="17"/>
  <c r="J117" i="17"/>
  <c r="J118" i="17"/>
  <c r="J119" i="17"/>
  <c r="J120" i="17"/>
  <c r="D122" i="17"/>
  <c r="E122" i="17"/>
  <c r="F122" i="17"/>
  <c r="G122" i="17"/>
  <c r="H122" i="17"/>
  <c r="I122" i="17"/>
  <c r="J125" i="17"/>
  <c r="J127" i="17" s="1"/>
  <c r="D127" i="17"/>
  <c r="E127" i="17"/>
  <c r="F127" i="17"/>
  <c r="G127" i="17"/>
  <c r="H127" i="17"/>
  <c r="I127" i="17"/>
  <c r="J130" i="17"/>
  <c r="D132" i="17"/>
  <c r="E132" i="17"/>
  <c r="F132" i="17"/>
  <c r="G132" i="17"/>
  <c r="H132" i="17"/>
  <c r="I132" i="17"/>
  <c r="J135" i="17"/>
  <c r="J136" i="17"/>
  <c r="D138" i="17"/>
  <c r="E138" i="17"/>
  <c r="F138" i="17"/>
  <c r="G138" i="17"/>
  <c r="H138" i="17"/>
  <c r="I138" i="17"/>
  <c r="J141" i="17"/>
  <c r="J142" i="17"/>
  <c r="D144" i="17"/>
  <c r="E144" i="17"/>
  <c r="F144" i="17"/>
  <c r="G144" i="17"/>
  <c r="H144" i="17"/>
  <c r="I144" i="17"/>
  <c r="J147" i="17"/>
  <c r="J148" i="17"/>
  <c r="J149" i="17"/>
  <c r="J150" i="17"/>
  <c r="D152" i="17"/>
  <c r="E152" i="17"/>
  <c r="F152" i="17"/>
  <c r="G152" i="17"/>
  <c r="H152" i="17"/>
  <c r="I152" i="17"/>
  <c r="J155" i="17"/>
  <c r="D157" i="17"/>
  <c r="E157" i="17"/>
  <c r="F157" i="17"/>
  <c r="G157" i="17"/>
  <c r="H157" i="17"/>
  <c r="I157" i="17"/>
  <c r="J160" i="17"/>
  <c r="D162" i="17"/>
  <c r="E162" i="17"/>
  <c r="F162" i="17"/>
  <c r="G162" i="17"/>
  <c r="H162" i="17"/>
  <c r="I162" i="17"/>
  <c r="J165" i="17"/>
  <c r="D167" i="17"/>
  <c r="E167" i="17"/>
  <c r="F167" i="17"/>
  <c r="G167" i="17"/>
  <c r="H167" i="17"/>
  <c r="I167" i="17"/>
  <c r="J170" i="17"/>
  <c r="D172" i="17"/>
  <c r="E172" i="17"/>
  <c r="F172" i="17"/>
  <c r="G172" i="17"/>
  <c r="H172" i="17"/>
  <c r="I172" i="17"/>
  <c r="J175" i="17"/>
  <c r="D177" i="17"/>
  <c r="E177" i="17"/>
  <c r="F177" i="17"/>
  <c r="G177" i="17"/>
  <c r="H177" i="17"/>
  <c r="I177" i="17"/>
  <c r="J180" i="17"/>
  <c r="D182" i="17"/>
  <c r="E182" i="17"/>
  <c r="F182" i="17"/>
  <c r="G182" i="17"/>
  <c r="H182" i="17"/>
  <c r="I182" i="17"/>
  <c r="J185" i="17"/>
  <c r="J186" i="17"/>
  <c r="D188" i="17"/>
  <c r="E188" i="17"/>
  <c r="F188" i="17"/>
  <c r="G188" i="17"/>
  <c r="H188" i="17"/>
  <c r="I188" i="17"/>
  <c r="J191" i="17"/>
  <c r="J192" i="17"/>
  <c r="J193" i="17"/>
  <c r="D195" i="17"/>
  <c r="E195" i="17"/>
  <c r="F195" i="17"/>
  <c r="G195" i="17"/>
  <c r="H195" i="17"/>
  <c r="I195" i="17"/>
  <c r="J198" i="17"/>
  <c r="D201" i="17"/>
  <c r="E201" i="17"/>
  <c r="F201" i="17"/>
  <c r="G201" i="17"/>
  <c r="H201" i="17"/>
  <c r="I201" i="17"/>
  <c r="J204" i="17"/>
  <c r="J205" i="17"/>
  <c r="J206" i="17"/>
  <c r="J207" i="17"/>
  <c r="D209" i="17"/>
  <c r="E209" i="17"/>
  <c r="F209" i="17"/>
  <c r="G209" i="17"/>
  <c r="H209" i="17"/>
  <c r="I209" i="17"/>
  <c r="J212" i="17"/>
  <c r="J213" i="17"/>
  <c r="D215" i="17"/>
  <c r="E215" i="17"/>
  <c r="F215" i="17"/>
  <c r="G215" i="17"/>
  <c r="H215" i="17"/>
  <c r="I215" i="17"/>
  <c r="D218" i="17"/>
  <c r="J219" i="17"/>
  <c r="E221" i="17"/>
  <c r="F221" i="17"/>
  <c r="G221" i="17"/>
  <c r="H221" i="17"/>
  <c r="I221" i="17"/>
  <c r="J224" i="17"/>
  <c r="J225" i="17"/>
  <c r="D227" i="17"/>
  <c r="E227" i="17"/>
  <c r="F227" i="17"/>
  <c r="G227" i="17"/>
  <c r="H227" i="17"/>
  <c r="I227" i="17"/>
  <c r="J230" i="17"/>
  <c r="J231" i="17"/>
  <c r="D233" i="17"/>
  <c r="E233" i="17"/>
  <c r="F233" i="17"/>
  <c r="G233" i="17"/>
  <c r="H233" i="17"/>
  <c r="I233" i="17"/>
  <c r="J236" i="17"/>
  <c r="D239" i="17"/>
  <c r="E239" i="17"/>
  <c r="F239" i="17"/>
  <c r="G239" i="17"/>
  <c r="H239" i="17"/>
  <c r="I239" i="17"/>
  <c r="J242" i="17"/>
  <c r="J243" i="17"/>
  <c r="D245" i="17"/>
  <c r="E245" i="17"/>
  <c r="F245" i="17"/>
  <c r="G245" i="17"/>
  <c r="H245" i="17"/>
  <c r="I245" i="17"/>
  <c r="J248" i="17"/>
  <c r="D250" i="17"/>
  <c r="E250" i="17"/>
  <c r="F250" i="17"/>
  <c r="G250" i="17"/>
  <c r="H250" i="17"/>
  <c r="I250" i="17"/>
  <c r="J253" i="17"/>
  <c r="J254" i="17"/>
  <c r="J255" i="17"/>
  <c r="D257" i="17"/>
  <c r="E257" i="17"/>
  <c r="F257" i="17"/>
  <c r="G257" i="17"/>
  <c r="H257" i="17"/>
  <c r="I257" i="17"/>
  <c r="J260" i="17"/>
  <c r="J261" i="17"/>
  <c r="D263" i="17"/>
  <c r="E263" i="17"/>
  <c r="F263" i="17"/>
  <c r="G263" i="17"/>
  <c r="H263" i="17"/>
  <c r="I263" i="17"/>
  <c r="J266" i="17"/>
  <c r="J267" i="17"/>
  <c r="D269" i="17"/>
  <c r="E269" i="17"/>
  <c r="F269" i="17"/>
  <c r="G269" i="17"/>
  <c r="H269" i="17"/>
  <c r="I269" i="17"/>
  <c r="J272" i="17"/>
  <c r="D274" i="17"/>
  <c r="E274" i="17"/>
  <c r="F274" i="17"/>
  <c r="G274" i="17"/>
  <c r="H274" i="17"/>
  <c r="I274" i="17"/>
  <c r="J277" i="17"/>
  <c r="D280" i="17"/>
  <c r="E280" i="17"/>
  <c r="F280" i="17"/>
  <c r="G280" i="17"/>
  <c r="H280" i="17"/>
  <c r="I280" i="17"/>
  <c r="J283" i="17"/>
  <c r="J284" i="17"/>
  <c r="J285" i="17"/>
  <c r="D287" i="17"/>
  <c r="E287" i="17"/>
  <c r="F287" i="17"/>
  <c r="G287" i="17"/>
  <c r="H287" i="17"/>
  <c r="I287" i="17"/>
  <c r="J290" i="17"/>
  <c r="J291" i="17"/>
  <c r="D293" i="17"/>
  <c r="E293" i="17"/>
  <c r="F293" i="17"/>
  <c r="G293" i="17"/>
  <c r="H293" i="17"/>
  <c r="I293" i="17"/>
  <c r="J296" i="17"/>
  <c r="D299" i="17"/>
  <c r="E299" i="17"/>
  <c r="F299" i="17"/>
  <c r="G299" i="17"/>
  <c r="H299" i="17"/>
  <c r="I299" i="17"/>
  <c r="J302" i="17"/>
  <c r="D305" i="17"/>
  <c r="E305" i="17"/>
  <c r="F305" i="17"/>
  <c r="G305" i="17"/>
  <c r="H305" i="17"/>
  <c r="I305" i="17"/>
  <c r="J308" i="17"/>
  <c r="J309" i="17"/>
  <c r="D311" i="17"/>
  <c r="E311" i="17"/>
  <c r="F311" i="17"/>
  <c r="G311" i="17"/>
  <c r="H311" i="17"/>
  <c r="I311" i="17"/>
  <c r="J9" i="16"/>
  <c r="J10" i="16"/>
  <c r="D12" i="16"/>
  <c r="E12" i="16"/>
  <c r="F12" i="16"/>
  <c r="G12" i="16"/>
  <c r="H12" i="16"/>
  <c r="I12" i="16"/>
  <c r="J15" i="16"/>
  <c r="J16" i="16"/>
  <c r="D18" i="16"/>
  <c r="E18" i="16"/>
  <c r="F18" i="16"/>
  <c r="G18" i="16"/>
  <c r="H18" i="16"/>
  <c r="I18" i="16"/>
  <c r="J21" i="16"/>
  <c r="J22" i="16"/>
  <c r="D24" i="16"/>
  <c r="E24" i="16"/>
  <c r="F24" i="16"/>
  <c r="G24" i="16"/>
  <c r="H24" i="16"/>
  <c r="I24" i="16"/>
  <c r="J28" i="16"/>
  <c r="D30" i="16"/>
  <c r="E30" i="16"/>
  <c r="F30" i="16"/>
  <c r="G30" i="16"/>
  <c r="H30" i="16"/>
  <c r="I30" i="16"/>
  <c r="J34" i="16"/>
  <c r="D36" i="16"/>
  <c r="E36" i="16"/>
  <c r="F36" i="16"/>
  <c r="G36" i="16"/>
  <c r="H36" i="16"/>
  <c r="I36" i="16"/>
  <c r="J40" i="16"/>
  <c r="J41" i="16"/>
  <c r="D43" i="16"/>
  <c r="E43" i="16"/>
  <c r="F43" i="16"/>
  <c r="G43" i="16"/>
  <c r="H43" i="16"/>
  <c r="I43" i="16"/>
  <c r="J46" i="16"/>
  <c r="D48" i="16"/>
  <c r="E48" i="16"/>
  <c r="F48" i="16"/>
  <c r="G48" i="16"/>
  <c r="H48" i="16"/>
  <c r="I48" i="16"/>
  <c r="J53" i="16"/>
  <c r="J54" i="16"/>
  <c r="D56" i="16"/>
  <c r="E56" i="16"/>
  <c r="F56" i="16"/>
  <c r="G56" i="16"/>
  <c r="H56" i="16"/>
  <c r="I56" i="16"/>
  <c r="J59" i="16"/>
  <c r="J60" i="16"/>
  <c r="J61" i="16"/>
  <c r="J62" i="16"/>
  <c r="D64" i="16"/>
  <c r="E64" i="16"/>
  <c r="F64" i="16"/>
  <c r="G64" i="16"/>
  <c r="H64" i="16"/>
  <c r="I64" i="16"/>
  <c r="J67" i="16"/>
  <c r="D70" i="16"/>
  <c r="E70" i="16"/>
  <c r="F70" i="16"/>
  <c r="G70" i="16"/>
  <c r="H70" i="16"/>
  <c r="I70" i="16"/>
  <c r="J73" i="16"/>
  <c r="J74" i="16"/>
  <c r="D76" i="16"/>
  <c r="E76" i="16"/>
  <c r="F76" i="16"/>
  <c r="G76" i="16"/>
  <c r="H76" i="16"/>
  <c r="I76" i="16"/>
  <c r="J79" i="16"/>
  <c r="J80" i="16"/>
  <c r="J81" i="16"/>
  <c r="J82" i="16"/>
  <c r="D84" i="16"/>
  <c r="E84" i="16"/>
  <c r="F84" i="16"/>
  <c r="G84" i="16"/>
  <c r="J84" i="16" s="1"/>
  <c r="H84" i="16"/>
  <c r="I84" i="16"/>
  <c r="J87" i="16"/>
  <c r="J88" i="16"/>
  <c r="D90" i="16"/>
  <c r="E90" i="16"/>
  <c r="F90" i="16"/>
  <c r="G90" i="16"/>
  <c r="H90" i="16"/>
  <c r="I90" i="16"/>
  <c r="J93" i="16"/>
  <c r="J95" i="16"/>
  <c r="J96" i="16"/>
  <c r="D98" i="16"/>
  <c r="E98" i="16"/>
  <c r="F98" i="16"/>
  <c r="G98" i="16"/>
  <c r="H98" i="16"/>
  <c r="I98" i="16"/>
  <c r="J101" i="16"/>
  <c r="D103" i="16"/>
  <c r="E103" i="16"/>
  <c r="F103" i="16"/>
  <c r="G103" i="16"/>
  <c r="H103" i="16"/>
  <c r="I103" i="16"/>
  <c r="J106" i="16"/>
  <c r="J107" i="16"/>
  <c r="D109" i="16"/>
  <c r="E109" i="16"/>
  <c r="F109" i="16"/>
  <c r="G109" i="16"/>
  <c r="H109" i="16"/>
  <c r="I109" i="16"/>
  <c r="J112" i="16"/>
  <c r="D114" i="16"/>
  <c r="E114" i="16"/>
  <c r="F114" i="16"/>
  <c r="G114" i="16"/>
  <c r="H114" i="16"/>
  <c r="I114" i="16"/>
  <c r="J117" i="16"/>
  <c r="J118" i="16"/>
  <c r="J119" i="16"/>
  <c r="J120" i="16"/>
  <c r="D122" i="16"/>
  <c r="E122" i="16"/>
  <c r="F122" i="16"/>
  <c r="G122" i="16"/>
  <c r="H122" i="16"/>
  <c r="I122" i="16"/>
  <c r="J125" i="16"/>
  <c r="J127" i="16" s="1"/>
  <c r="D127" i="16"/>
  <c r="E127" i="16"/>
  <c r="F127" i="16"/>
  <c r="G127" i="16"/>
  <c r="H127" i="16"/>
  <c r="I127" i="16"/>
  <c r="J130" i="16"/>
  <c r="D132" i="16"/>
  <c r="E132" i="16"/>
  <c r="F132" i="16"/>
  <c r="G132" i="16"/>
  <c r="H132" i="16"/>
  <c r="I132" i="16"/>
  <c r="J135" i="16"/>
  <c r="J136" i="16"/>
  <c r="D138" i="16"/>
  <c r="E138" i="16"/>
  <c r="F138" i="16"/>
  <c r="G138" i="16"/>
  <c r="J138" i="16" s="1"/>
  <c r="H138" i="16"/>
  <c r="I138" i="16"/>
  <c r="J141" i="16"/>
  <c r="J142" i="16"/>
  <c r="D144" i="16"/>
  <c r="E144" i="16"/>
  <c r="F144" i="16"/>
  <c r="G144" i="16"/>
  <c r="H144" i="16"/>
  <c r="I144" i="16"/>
  <c r="J147" i="16"/>
  <c r="J148" i="16"/>
  <c r="J149" i="16"/>
  <c r="J150" i="16"/>
  <c r="D152" i="16"/>
  <c r="E152" i="16"/>
  <c r="F152" i="16"/>
  <c r="G152" i="16"/>
  <c r="H152" i="16"/>
  <c r="I152" i="16"/>
  <c r="J155" i="16"/>
  <c r="D157" i="16"/>
  <c r="E157" i="16"/>
  <c r="F157" i="16"/>
  <c r="G157" i="16"/>
  <c r="H157" i="16"/>
  <c r="I157" i="16"/>
  <c r="J160" i="16"/>
  <c r="D162" i="16"/>
  <c r="E162" i="16"/>
  <c r="F162" i="16"/>
  <c r="G162" i="16"/>
  <c r="H162" i="16"/>
  <c r="I162" i="16"/>
  <c r="J165" i="16"/>
  <c r="D167" i="16"/>
  <c r="E167" i="16"/>
  <c r="F167" i="16"/>
  <c r="G167" i="16"/>
  <c r="H167" i="16"/>
  <c r="I167" i="16"/>
  <c r="J170" i="16"/>
  <c r="D172" i="16"/>
  <c r="E172" i="16"/>
  <c r="F172" i="16"/>
  <c r="G172" i="16"/>
  <c r="H172" i="16"/>
  <c r="I172" i="16"/>
  <c r="J175" i="16"/>
  <c r="D177" i="16"/>
  <c r="E177" i="16"/>
  <c r="F177" i="16"/>
  <c r="G177" i="16"/>
  <c r="H177" i="16"/>
  <c r="I177" i="16"/>
  <c r="J180" i="16"/>
  <c r="D182" i="16"/>
  <c r="E182" i="16"/>
  <c r="F182" i="16"/>
  <c r="G182" i="16"/>
  <c r="H182" i="16"/>
  <c r="I182" i="16"/>
  <c r="J185" i="16"/>
  <c r="J186" i="16"/>
  <c r="D188" i="16"/>
  <c r="E188" i="16"/>
  <c r="F188" i="16"/>
  <c r="G188" i="16"/>
  <c r="H188" i="16"/>
  <c r="I188" i="16"/>
  <c r="J191" i="16"/>
  <c r="J192" i="16"/>
  <c r="J193" i="16"/>
  <c r="D195" i="16"/>
  <c r="E195" i="16"/>
  <c r="F195" i="16"/>
  <c r="G195" i="16"/>
  <c r="H195" i="16"/>
  <c r="I195" i="16"/>
  <c r="J198" i="16"/>
  <c r="D201" i="16"/>
  <c r="E201" i="16"/>
  <c r="F201" i="16"/>
  <c r="G201" i="16"/>
  <c r="H201" i="16"/>
  <c r="I201" i="16"/>
  <c r="F204" i="16"/>
  <c r="F209" i="16" s="1"/>
  <c r="G204" i="16"/>
  <c r="J205" i="16"/>
  <c r="J206" i="16"/>
  <c r="J207" i="16"/>
  <c r="D209" i="16"/>
  <c r="E209" i="16"/>
  <c r="H209" i="16"/>
  <c r="I209" i="16"/>
  <c r="J212" i="16"/>
  <c r="J213" i="16"/>
  <c r="D215" i="16"/>
  <c r="E215" i="16"/>
  <c r="F215" i="16"/>
  <c r="G215" i="16"/>
  <c r="H215" i="16"/>
  <c r="I215" i="16"/>
  <c r="J218" i="16"/>
  <c r="J219" i="16"/>
  <c r="D221" i="16"/>
  <c r="E221" i="16"/>
  <c r="F221" i="16"/>
  <c r="G221" i="16"/>
  <c r="H221" i="16"/>
  <c r="I221" i="16"/>
  <c r="J224" i="16"/>
  <c r="J225" i="16"/>
  <c r="D227" i="16"/>
  <c r="E227" i="16"/>
  <c r="F227" i="16"/>
  <c r="G227" i="16"/>
  <c r="H227" i="16"/>
  <c r="I227" i="16"/>
  <c r="J230" i="16"/>
  <c r="J231" i="16"/>
  <c r="D233" i="16"/>
  <c r="E233" i="16"/>
  <c r="F233" i="16"/>
  <c r="G233" i="16"/>
  <c r="H233" i="16"/>
  <c r="I233" i="16"/>
  <c r="J236" i="16"/>
  <c r="D239" i="16"/>
  <c r="E239" i="16"/>
  <c r="F239" i="16"/>
  <c r="G239" i="16"/>
  <c r="H239" i="16"/>
  <c r="I239" i="16"/>
  <c r="J242" i="16"/>
  <c r="J243" i="16"/>
  <c r="D245" i="16"/>
  <c r="E245" i="16"/>
  <c r="F245" i="16"/>
  <c r="G245" i="16"/>
  <c r="H245" i="16"/>
  <c r="I245" i="16"/>
  <c r="J248" i="16"/>
  <c r="D250" i="16"/>
  <c r="E250" i="16"/>
  <c r="F250" i="16"/>
  <c r="G250" i="16"/>
  <c r="H250" i="16"/>
  <c r="I250" i="16"/>
  <c r="J253" i="16"/>
  <c r="J254" i="16"/>
  <c r="J255" i="16"/>
  <c r="D257" i="16"/>
  <c r="E257" i="16"/>
  <c r="F257" i="16"/>
  <c r="G257" i="16"/>
  <c r="H257" i="16"/>
  <c r="I257" i="16"/>
  <c r="J260" i="16"/>
  <c r="J261" i="16"/>
  <c r="D263" i="16"/>
  <c r="E263" i="16"/>
  <c r="F263" i="16"/>
  <c r="G263" i="16"/>
  <c r="H263" i="16"/>
  <c r="I263" i="16"/>
  <c r="J266" i="16"/>
  <c r="J267" i="16"/>
  <c r="D269" i="16"/>
  <c r="E269" i="16"/>
  <c r="F269" i="16"/>
  <c r="G269" i="16"/>
  <c r="H269" i="16"/>
  <c r="I269" i="16"/>
  <c r="J272" i="16"/>
  <c r="D274" i="16"/>
  <c r="E274" i="16"/>
  <c r="F274" i="16"/>
  <c r="G274" i="16"/>
  <c r="H274" i="16"/>
  <c r="I274" i="16"/>
  <c r="J277" i="16"/>
  <c r="D280" i="16"/>
  <c r="E280" i="16"/>
  <c r="F280" i="16"/>
  <c r="G280" i="16"/>
  <c r="H280" i="16"/>
  <c r="I280" i="16"/>
  <c r="J283" i="16"/>
  <c r="J284" i="16"/>
  <c r="J285" i="16"/>
  <c r="D287" i="16"/>
  <c r="E287" i="16"/>
  <c r="F287" i="16"/>
  <c r="G287" i="16"/>
  <c r="H287" i="16"/>
  <c r="I287" i="16"/>
  <c r="J290" i="16"/>
  <c r="J291" i="16"/>
  <c r="D293" i="16"/>
  <c r="E293" i="16"/>
  <c r="F293" i="16"/>
  <c r="G293" i="16"/>
  <c r="H293" i="16"/>
  <c r="I293" i="16"/>
  <c r="J296" i="16"/>
  <c r="D299" i="16"/>
  <c r="E299" i="16"/>
  <c r="F299" i="16"/>
  <c r="G299" i="16"/>
  <c r="H299" i="16"/>
  <c r="I299" i="16"/>
  <c r="J302" i="16"/>
  <c r="D305" i="16"/>
  <c r="E305" i="16"/>
  <c r="F305" i="16"/>
  <c r="G305" i="16"/>
  <c r="H305" i="16"/>
  <c r="I305" i="16"/>
  <c r="J308" i="16"/>
  <c r="J309" i="16"/>
  <c r="D311" i="16"/>
  <c r="E311" i="16"/>
  <c r="F311" i="16"/>
  <c r="G311" i="16"/>
  <c r="H311" i="16"/>
  <c r="I311" i="16"/>
  <c r="J9" i="15"/>
  <c r="J10" i="15"/>
  <c r="D12" i="15"/>
  <c r="E12" i="15"/>
  <c r="F12" i="15"/>
  <c r="G12" i="15"/>
  <c r="H12" i="15"/>
  <c r="I12" i="15"/>
  <c r="J14" i="15"/>
  <c r="J15" i="15"/>
  <c r="D17" i="15"/>
  <c r="E17" i="15"/>
  <c r="F17" i="15"/>
  <c r="G17" i="15"/>
  <c r="H17" i="15"/>
  <c r="I17" i="15"/>
  <c r="J19" i="15"/>
  <c r="J20" i="15"/>
  <c r="D22" i="15"/>
  <c r="E22" i="15"/>
  <c r="F22" i="15"/>
  <c r="G22" i="15"/>
  <c r="H22" i="15"/>
  <c r="I22" i="15"/>
  <c r="J26" i="15"/>
  <c r="D28" i="15"/>
  <c r="E28" i="15"/>
  <c r="F28" i="15"/>
  <c r="G28" i="15"/>
  <c r="H28" i="15"/>
  <c r="I28" i="15"/>
  <c r="J32" i="15"/>
  <c r="D34" i="15"/>
  <c r="E34" i="15"/>
  <c r="F34" i="15"/>
  <c r="G34" i="15"/>
  <c r="H34" i="15"/>
  <c r="I34" i="15"/>
  <c r="J38" i="15"/>
  <c r="J39" i="15"/>
  <c r="D41" i="15"/>
  <c r="E41" i="15"/>
  <c r="F41" i="15"/>
  <c r="G41" i="15"/>
  <c r="H41" i="15"/>
  <c r="I41" i="15"/>
  <c r="J44" i="15"/>
  <c r="D46" i="15"/>
  <c r="E46" i="15"/>
  <c r="F46" i="15"/>
  <c r="G46" i="15"/>
  <c r="H46" i="15"/>
  <c r="I46" i="15"/>
  <c r="J51" i="15"/>
  <c r="J52" i="15"/>
  <c r="D54" i="15"/>
  <c r="E54" i="15"/>
  <c r="F54" i="15"/>
  <c r="G54" i="15"/>
  <c r="H54" i="15"/>
  <c r="I54" i="15"/>
  <c r="J57" i="15"/>
  <c r="J58" i="15"/>
  <c r="J59" i="15"/>
  <c r="J60" i="15"/>
  <c r="D62" i="15"/>
  <c r="E62" i="15"/>
  <c r="F62" i="15"/>
  <c r="G62" i="15"/>
  <c r="H62" i="15"/>
  <c r="I62" i="15"/>
  <c r="J64" i="15"/>
  <c r="D67" i="15"/>
  <c r="E67" i="15"/>
  <c r="F67" i="15"/>
  <c r="G67" i="15"/>
  <c r="H67" i="15"/>
  <c r="I67" i="15"/>
  <c r="J70" i="15"/>
  <c r="J71" i="15"/>
  <c r="D73" i="15"/>
  <c r="E73" i="15"/>
  <c r="F73" i="15"/>
  <c r="G73" i="15"/>
  <c r="H73" i="15"/>
  <c r="I73" i="15"/>
  <c r="J76" i="15"/>
  <c r="J77" i="15"/>
  <c r="J78" i="15"/>
  <c r="J79" i="15"/>
  <c r="D81" i="15"/>
  <c r="E81" i="15"/>
  <c r="F81" i="15"/>
  <c r="G81" i="15"/>
  <c r="H81" i="15"/>
  <c r="I81" i="15"/>
  <c r="J84" i="15"/>
  <c r="J85" i="15"/>
  <c r="D87" i="15"/>
  <c r="E87" i="15"/>
  <c r="F87" i="15"/>
  <c r="G87" i="15"/>
  <c r="H87" i="15"/>
  <c r="I87" i="15"/>
  <c r="J90" i="15"/>
  <c r="J91" i="15"/>
  <c r="J92" i="15"/>
  <c r="D94" i="15"/>
  <c r="E94" i="15"/>
  <c r="F94" i="15"/>
  <c r="G94" i="15"/>
  <c r="H94" i="15"/>
  <c r="I94" i="15"/>
  <c r="J97" i="15"/>
  <c r="D99" i="15"/>
  <c r="E99" i="15"/>
  <c r="F99" i="15"/>
  <c r="G99" i="15"/>
  <c r="H99" i="15"/>
  <c r="I99" i="15"/>
  <c r="J102" i="15"/>
  <c r="J103" i="15"/>
  <c r="D105" i="15"/>
  <c r="E105" i="15"/>
  <c r="F105" i="15"/>
  <c r="G105" i="15"/>
  <c r="H105" i="15"/>
  <c r="I105" i="15"/>
  <c r="J108" i="15"/>
  <c r="D110" i="15"/>
  <c r="E110" i="15"/>
  <c r="F110" i="15"/>
  <c r="G110" i="15"/>
  <c r="H110" i="15"/>
  <c r="I110" i="15"/>
  <c r="J113" i="15"/>
  <c r="J114" i="15"/>
  <c r="J115" i="15"/>
  <c r="J116" i="15"/>
  <c r="D118" i="15"/>
  <c r="E118" i="15"/>
  <c r="F118" i="15"/>
  <c r="G118" i="15"/>
  <c r="H118" i="15"/>
  <c r="I118" i="15"/>
  <c r="J121" i="15"/>
  <c r="J123" i="15" s="1"/>
  <c r="D123" i="15"/>
  <c r="E123" i="15"/>
  <c r="F123" i="15"/>
  <c r="G123" i="15"/>
  <c r="H123" i="15"/>
  <c r="I123" i="15"/>
  <c r="J126" i="15"/>
  <c r="D128" i="15"/>
  <c r="E128" i="15"/>
  <c r="F128" i="15"/>
  <c r="G128" i="15"/>
  <c r="H128" i="15"/>
  <c r="I128" i="15"/>
  <c r="J131" i="15"/>
  <c r="J132" i="15"/>
  <c r="D134" i="15"/>
  <c r="E134" i="15"/>
  <c r="F134" i="15"/>
  <c r="G134" i="15"/>
  <c r="H134" i="15"/>
  <c r="I134" i="15"/>
  <c r="J137" i="15"/>
  <c r="J138" i="15"/>
  <c r="D140" i="15"/>
  <c r="E140" i="15"/>
  <c r="F140" i="15"/>
  <c r="G140" i="15"/>
  <c r="H140" i="15"/>
  <c r="I140" i="15"/>
  <c r="J143" i="15"/>
  <c r="J144" i="15"/>
  <c r="J145" i="15"/>
  <c r="J146" i="15"/>
  <c r="D148" i="15"/>
  <c r="E148" i="15"/>
  <c r="F148" i="15"/>
  <c r="G148" i="15"/>
  <c r="H148" i="15"/>
  <c r="I148" i="15"/>
  <c r="J151" i="15"/>
  <c r="D153" i="15"/>
  <c r="E153" i="15"/>
  <c r="F153" i="15"/>
  <c r="G153" i="15"/>
  <c r="H153" i="15"/>
  <c r="I153" i="15"/>
  <c r="J156" i="15"/>
  <c r="D158" i="15"/>
  <c r="E158" i="15"/>
  <c r="F158" i="15"/>
  <c r="G158" i="15"/>
  <c r="H158" i="15"/>
  <c r="I158" i="15"/>
  <c r="J161" i="15"/>
  <c r="D163" i="15"/>
  <c r="E163" i="15"/>
  <c r="F163" i="15"/>
  <c r="G163" i="15"/>
  <c r="H163" i="15"/>
  <c r="I163" i="15"/>
  <c r="J166" i="15"/>
  <c r="D168" i="15"/>
  <c r="E168" i="15"/>
  <c r="F168" i="15"/>
  <c r="G168" i="15"/>
  <c r="H168" i="15"/>
  <c r="I168" i="15"/>
  <c r="J171" i="15"/>
  <c r="D173" i="15"/>
  <c r="E173" i="15"/>
  <c r="F173" i="15"/>
  <c r="G173" i="15"/>
  <c r="H173" i="15"/>
  <c r="I173" i="15"/>
  <c r="J176" i="15"/>
  <c r="D178" i="15"/>
  <c r="E178" i="15"/>
  <c r="F178" i="15"/>
  <c r="G178" i="15"/>
  <c r="H178" i="15"/>
  <c r="I178" i="15"/>
  <c r="J181" i="15"/>
  <c r="J182" i="15"/>
  <c r="D184" i="15"/>
  <c r="E184" i="15"/>
  <c r="F184" i="15"/>
  <c r="G184" i="15"/>
  <c r="H184" i="15"/>
  <c r="I184" i="15"/>
  <c r="J187" i="15"/>
  <c r="J188" i="15"/>
  <c r="J189" i="15"/>
  <c r="D191" i="15"/>
  <c r="E191" i="15"/>
  <c r="F191" i="15"/>
  <c r="G191" i="15"/>
  <c r="H191" i="15"/>
  <c r="I191" i="15"/>
  <c r="J194" i="15"/>
  <c r="D197" i="15"/>
  <c r="E197" i="15"/>
  <c r="F197" i="15"/>
  <c r="G197" i="15"/>
  <c r="H197" i="15"/>
  <c r="I197" i="15"/>
  <c r="J200" i="15"/>
  <c r="J201" i="15"/>
  <c r="J202" i="15"/>
  <c r="J203" i="15"/>
  <c r="D205" i="15"/>
  <c r="E205" i="15"/>
  <c r="F205" i="15"/>
  <c r="G205" i="15"/>
  <c r="H205" i="15"/>
  <c r="I205" i="15"/>
  <c r="J208" i="15"/>
  <c r="J209" i="15"/>
  <c r="D211" i="15"/>
  <c r="E211" i="15"/>
  <c r="F211" i="15"/>
  <c r="G211" i="15"/>
  <c r="H211" i="15"/>
  <c r="I211" i="15"/>
  <c r="J214" i="15"/>
  <c r="J215" i="15"/>
  <c r="D217" i="15"/>
  <c r="E217" i="15"/>
  <c r="F217" i="15"/>
  <c r="G217" i="15"/>
  <c r="H217" i="15"/>
  <c r="I217" i="15"/>
  <c r="J220" i="15"/>
  <c r="J221" i="15"/>
  <c r="D223" i="15"/>
  <c r="E223" i="15"/>
  <c r="F223" i="15"/>
  <c r="G223" i="15"/>
  <c r="H223" i="15"/>
  <c r="I223" i="15"/>
  <c r="J226" i="15"/>
  <c r="J227" i="15"/>
  <c r="D229" i="15"/>
  <c r="E229" i="15"/>
  <c r="F229" i="15"/>
  <c r="G229" i="15"/>
  <c r="H229" i="15"/>
  <c r="I229" i="15"/>
  <c r="J232" i="15"/>
  <c r="D235" i="15"/>
  <c r="E235" i="15"/>
  <c r="F235" i="15"/>
  <c r="G235" i="15"/>
  <c r="H235" i="15"/>
  <c r="I235" i="15"/>
  <c r="J238" i="15"/>
  <c r="J239" i="15"/>
  <c r="D241" i="15"/>
  <c r="E241" i="15"/>
  <c r="F241" i="15"/>
  <c r="G241" i="15"/>
  <c r="H241" i="15"/>
  <c r="I241" i="15"/>
  <c r="J244" i="15"/>
  <c r="D246" i="15"/>
  <c r="E246" i="15"/>
  <c r="F246" i="15"/>
  <c r="G246" i="15"/>
  <c r="H246" i="15"/>
  <c r="I246" i="15"/>
  <c r="J249" i="15"/>
  <c r="J250" i="15"/>
  <c r="J251" i="15"/>
  <c r="J253" i="15" s="1"/>
  <c r="D253" i="15"/>
  <c r="E253" i="15"/>
  <c r="F253" i="15"/>
  <c r="G253" i="15"/>
  <c r="H253" i="15"/>
  <c r="I253" i="15"/>
  <c r="J256" i="15"/>
  <c r="J257" i="15"/>
  <c r="D259" i="15"/>
  <c r="E259" i="15"/>
  <c r="F259" i="15"/>
  <c r="G259" i="15"/>
  <c r="H259" i="15"/>
  <c r="I259" i="15"/>
  <c r="J262" i="15"/>
  <c r="J263" i="15"/>
  <c r="D265" i="15"/>
  <c r="E265" i="15"/>
  <c r="F265" i="15"/>
  <c r="G265" i="15"/>
  <c r="H265" i="15"/>
  <c r="I265" i="15"/>
  <c r="J268" i="15"/>
  <c r="D270" i="15"/>
  <c r="E270" i="15"/>
  <c r="F270" i="15"/>
  <c r="G270" i="15"/>
  <c r="H270" i="15"/>
  <c r="I270" i="15"/>
  <c r="J273" i="15"/>
  <c r="D276" i="15"/>
  <c r="E276" i="15"/>
  <c r="F276" i="15"/>
  <c r="G276" i="15"/>
  <c r="H276" i="15"/>
  <c r="I276" i="15"/>
  <c r="J279" i="15"/>
  <c r="J280" i="15"/>
  <c r="J281" i="15"/>
  <c r="D283" i="15"/>
  <c r="E283" i="15"/>
  <c r="F283" i="15"/>
  <c r="G283" i="15"/>
  <c r="H283" i="15"/>
  <c r="I283" i="15"/>
  <c r="J286" i="15"/>
  <c r="J287" i="15"/>
  <c r="D289" i="15"/>
  <c r="E289" i="15"/>
  <c r="F289" i="15"/>
  <c r="G289" i="15"/>
  <c r="H289" i="15"/>
  <c r="I289" i="15"/>
  <c r="J292" i="15"/>
  <c r="D295" i="15"/>
  <c r="E295" i="15"/>
  <c r="F295" i="15"/>
  <c r="G295" i="15"/>
  <c r="H295" i="15"/>
  <c r="I295" i="15"/>
  <c r="J298" i="15"/>
  <c r="D301" i="15"/>
  <c r="E301" i="15"/>
  <c r="F301" i="15"/>
  <c r="G301" i="15"/>
  <c r="H301" i="15"/>
  <c r="I301" i="15"/>
  <c r="J304" i="15"/>
  <c r="J305" i="15"/>
  <c r="D307" i="15"/>
  <c r="E307" i="15"/>
  <c r="F307" i="15"/>
  <c r="G307" i="15"/>
  <c r="H307" i="15"/>
  <c r="I307" i="15"/>
  <c r="J215" i="10"/>
  <c r="J9" i="14"/>
  <c r="J10" i="14"/>
  <c r="D12" i="14"/>
  <c r="E12" i="14"/>
  <c r="F12" i="14"/>
  <c r="G12" i="14"/>
  <c r="H12" i="14"/>
  <c r="I12" i="14"/>
  <c r="J14" i="14"/>
  <c r="J15" i="14"/>
  <c r="D17" i="14"/>
  <c r="E17" i="14"/>
  <c r="F17" i="14"/>
  <c r="G17" i="14"/>
  <c r="H17" i="14"/>
  <c r="I17" i="14"/>
  <c r="J19" i="14"/>
  <c r="J20" i="14"/>
  <c r="D22" i="14"/>
  <c r="E22" i="14"/>
  <c r="F22" i="14"/>
  <c r="G22" i="14"/>
  <c r="H22" i="14"/>
  <c r="I22" i="14"/>
  <c r="J26" i="14"/>
  <c r="D28" i="14"/>
  <c r="E28" i="14"/>
  <c r="F28" i="14"/>
  <c r="G28" i="14"/>
  <c r="H28" i="14"/>
  <c r="I28" i="14"/>
  <c r="J32" i="14"/>
  <c r="D34" i="14"/>
  <c r="E34" i="14"/>
  <c r="F34" i="14"/>
  <c r="G34" i="14"/>
  <c r="H34" i="14"/>
  <c r="I34" i="14"/>
  <c r="J38" i="14"/>
  <c r="J39" i="14"/>
  <c r="D41" i="14"/>
  <c r="E41" i="14"/>
  <c r="F41" i="14"/>
  <c r="G41" i="14"/>
  <c r="H41" i="14"/>
  <c r="I41" i="14"/>
  <c r="J44" i="14"/>
  <c r="D46" i="14"/>
  <c r="E46" i="14"/>
  <c r="F46" i="14"/>
  <c r="G46" i="14"/>
  <c r="H46" i="14"/>
  <c r="I46" i="14"/>
  <c r="J51" i="14"/>
  <c r="J52" i="14"/>
  <c r="D54" i="14"/>
  <c r="E54" i="14"/>
  <c r="F54" i="14"/>
  <c r="G54" i="14"/>
  <c r="H54" i="14"/>
  <c r="I54" i="14"/>
  <c r="J57" i="14"/>
  <c r="J58" i="14"/>
  <c r="J59" i="14"/>
  <c r="J60" i="14"/>
  <c r="D62" i="14"/>
  <c r="E62" i="14"/>
  <c r="F62" i="14"/>
  <c r="G62" i="14"/>
  <c r="H62" i="14"/>
  <c r="I62" i="14"/>
  <c r="J64" i="14"/>
  <c r="D67" i="14"/>
  <c r="E67" i="14"/>
  <c r="F67" i="14"/>
  <c r="G67" i="14"/>
  <c r="H67" i="14"/>
  <c r="I67" i="14"/>
  <c r="J70" i="14"/>
  <c r="J71" i="14"/>
  <c r="D73" i="14"/>
  <c r="E73" i="14"/>
  <c r="F73" i="14"/>
  <c r="G73" i="14"/>
  <c r="H73" i="14"/>
  <c r="I73" i="14"/>
  <c r="J76" i="14"/>
  <c r="J77" i="14"/>
  <c r="J78" i="14"/>
  <c r="J79" i="14"/>
  <c r="D81" i="14"/>
  <c r="E81" i="14"/>
  <c r="F81" i="14"/>
  <c r="G81" i="14"/>
  <c r="H81" i="14"/>
  <c r="I81" i="14"/>
  <c r="J84" i="14"/>
  <c r="J85" i="14"/>
  <c r="D87" i="14"/>
  <c r="E87" i="14"/>
  <c r="F87" i="14"/>
  <c r="G87" i="14"/>
  <c r="H87" i="14"/>
  <c r="I87" i="14"/>
  <c r="J90" i="14"/>
  <c r="J91" i="14"/>
  <c r="J92" i="14"/>
  <c r="D94" i="14"/>
  <c r="E94" i="14"/>
  <c r="F94" i="14"/>
  <c r="G94" i="14"/>
  <c r="H94" i="14"/>
  <c r="I94" i="14"/>
  <c r="J97" i="14"/>
  <c r="D99" i="14"/>
  <c r="E99" i="14"/>
  <c r="F99" i="14"/>
  <c r="G99" i="14"/>
  <c r="H99" i="14"/>
  <c r="I99" i="14"/>
  <c r="J102" i="14"/>
  <c r="J103" i="14"/>
  <c r="D105" i="14"/>
  <c r="E105" i="14"/>
  <c r="F105" i="14"/>
  <c r="G105" i="14"/>
  <c r="H105" i="14"/>
  <c r="I105" i="14"/>
  <c r="J108" i="14"/>
  <c r="D110" i="14"/>
  <c r="E110" i="14"/>
  <c r="F110" i="14"/>
  <c r="G110" i="14"/>
  <c r="H110" i="14"/>
  <c r="I110" i="14"/>
  <c r="J113" i="14"/>
  <c r="J114" i="14"/>
  <c r="J115" i="14"/>
  <c r="J116" i="14"/>
  <c r="D118" i="14"/>
  <c r="E118" i="14"/>
  <c r="F118" i="14"/>
  <c r="G118" i="14"/>
  <c r="H118" i="14"/>
  <c r="I118" i="14"/>
  <c r="J121" i="14"/>
  <c r="J123" i="14" s="1"/>
  <c r="D123" i="14"/>
  <c r="E123" i="14"/>
  <c r="F123" i="14"/>
  <c r="G123" i="14"/>
  <c r="H123" i="14"/>
  <c r="I123" i="14"/>
  <c r="J126" i="14"/>
  <c r="D128" i="14"/>
  <c r="E128" i="14"/>
  <c r="F128" i="14"/>
  <c r="G128" i="14"/>
  <c r="H128" i="14"/>
  <c r="I128" i="14"/>
  <c r="J131" i="14"/>
  <c r="J132" i="14"/>
  <c r="D134" i="14"/>
  <c r="E134" i="14"/>
  <c r="F134" i="14"/>
  <c r="G134" i="14"/>
  <c r="H134" i="14"/>
  <c r="I134" i="14"/>
  <c r="J137" i="14"/>
  <c r="J138" i="14"/>
  <c r="D140" i="14"/>
  <c r="E140" i="14"/>
  <c r="F140" i="14"/>
  <c r="G140" i="14"/>
  <c r="H140" i="14"/>
  <c r="I140" i="14"/>
  <c r="J143" i="14"/>
  <c r="J144" i="14"/>
  <c r="J145" i="14"/>
  <c r="J146" i="14"/>
  <c r="D148" i="14"/>
  <c r="E148" i="14"/>
  <c r="F148" i="14"/>
  <c r="G148" i="14"/>
  <c r="H148" i="14"/>
  <c r="I148" i="14"/>
  <c r="J151" i="14"/>
  <c r="D153" i="14"/>
  <c r="E153" i="14"/>
  <c r="F153" i="14"/>
  <c r="G153" i="14"/>
  <c r="H153" i="14"/>
  <c r="J153" i="14" s="1"/>
  <c r="I153" i="14"/>
  <c r="J156" i="14"/>
  <c r="D158" i="14"/>
  <c r="E158" i="14"/>
  <c r="F158" i="14"/>
  <c r="G158" i="14"/>
  <c r="H158" i="14"/>
  <c r="I158" i="14"/>
  <c r="J161" i="14"/>
  <c r="D163" i="14"/>
  <c r="E163" i="14"/>
  <c r="F163" i="14"/>
  <c r="G163" i="14"/>
  <c r="H163" i="14"/>
  <c r="I163" i="14"/>
  <c r="J166" i="14"/>
  <c r="D168" i="14"/>
  <c r="E168" i="14"/>
  <c r="F168" i="14"/>
  <c r="G168" i="14"/>
  <c r="H168" i="14"/>
  <c r="I168" i="14"/>
  <c r="J171" i="14"/>
  <c r="D173" i="14"/>
  <c r="E173" i="14"/>
  <c r="F173" i="14"/>
  <c r="G173" i="14"/>
  <c r="H173" i="14"/>
  <c r="J173" i="14" s="1"/>
  <c r="I173" i="14"/>
  <c r="J176" i="14"/>
  <c r="D178" i="14"/>
  <c r="E178" i="14"/>
  <c r="F178" i="14"/>
  <c r="G178" i="14"/>
  <c r="H178" i="14"/>
  <c r="I178" i="14"/>
  <c r="J181" i="14"/>
  <c r="J182" i="14"/>
  <c r="D184" i="14"/>
  <c r="E184" i="14"/>
  <c r="F184" i="14"/>
  <c r="G184" i="14"/>
  <c r="H184" i="14"/>
  <c r="I184" i="14"/>
  <c r="J187" i="14"/>
  <c r="J188" i="14"/>
  <c r="J189" i="14"/>
  <c r="D191" i="14"/>
  <c r="E191" i="14"/>
  <c r="F191" i="14"/>
  <c r="G191" i="14"/>
  <c r="H191" i="14"/>
  <c r="I191" i="14"/>
  <c r="J194" i="14"/>
  <c r="D197" i="14"/>
  <c r="E197" i="14"/>
  <c r="F197" i="14"/>
  <c r="G197" i="14"/>
  <c r="H197" i="14"/>
  <c r="I197" i="14"/>
  <c r="J200" i="14"/>
  <c r="J201" i="14"/>
  <c r="J202" i="14"/>
  <c r="J203" i="14"/>
  <c r="D205" i="14"/>
  <c r="E205" i="14"/>
  <c r="F205" i="14"/>
  <c r="G205" i="14"/>
  <c r="H205" i="14"/>
  <c r="I205" i="14"/>
  <c r="J208" i="14"/>
  <c r="D210" i="14"/>
  <c r="E210" i="14"/>
  <c r="F210" i="14"/>
  <c r="G210" i="14"/>
  <c r="H210" i="14"/>
  <c r="I210" i="14"/>
  <c r="J213" i="14"/>
  <c r="J214" i="14"/>
  <c r="D216" i="14"/>
  <c r="E216" i="14"/>
  <c r="F216" i="14"/>
  <c r="G216" i="14"/>
  <c r="H216" i="14"/>
  <c r="I216" i="14"/>
  <c r="J219" i="14"/>
  <c r="J220" i="14"/>
  <c r="D222" i="14"/>
  <c r="E222" i="14"/>
  <c r="F222" i="14"/>
  <c r="G222" i="14"/>
  <c r="H222" i="14"/>
  <c r="I222" i="14"/>
  <c r="J225" i="14"/>
  <c r="J226" i="14"/>
  <c r="D228" i="14"/>
  <c r="E228" i="14"/>
  <c r="F228" i="14"/>
  <c r="G228" i="14"/>
  <c r="H228" i="14"/>
  <c r="I228" i="14"/>
  <c r="J231" i="14"/>
  <c r="D234" i="14"/>
  <c r="E234" i="14"/>
  <c r="F234" i="14"/>
  <c r="G234" i="14"/>
  <c r="H234" i="14"/>
  <c r="I234" i="14"/>
  <c r="J237" i="14"/>
  <c r="J238" i="14"/>
  <c r="D240" i="14"/>
  <c r="E240" i="14"/>
  <c r="F240" i="14"/>
  <c r="G240" i="14"/>
  <c r="H240" i="14"/>
  <c r="I240" i="14"/>
  <c r="J243" i="14"/>
  <c r="D245" i="14"/>
  <c r="E245" i="14"/>
  <c r="F245" i="14"/>
  <c r="G245" i="14"/>
  <c r="H245" i="14"/>
  <c r="I245" i="14"/>
  <c r="J248" i="14"/>
  <c r="J249" i="14"/>
  <c r="J250" i="14"/>
  <c r="D252" i="14"/>
  <c r="E252" i="14"/>
  <c r="F252" i="14"/>
  <c r="G252" i="14"/>
  <c r="H252" i="14"/>
  <c r="I252" i="14"/>
  <c r="J255" i="14"/>
  <c r="J256" i="14"/>
  <c r="D258" i="14"/>
  <c r="E258" i="14"/>
  <c r="F258" i="14"/>
  <c r="G258" i="14"/>
  <c r="H258" i="14"/>
  <c r="I258" i="14"/>
  <c r="J261" i="14"/>
  <c r="J262" i="14"/>
  <c r="D264" i="14"/>
  <c r="E264" i="14"/>
  <c r="F264" i="14"/>
  <c r="G264" i="14"/>
  <c r="H264" i="14"/>
  <c r="I264" i="14"/>
  <c r="J267" i="14"/>
  <c r="D269" i="14"/>
  <c r="E269" i="14"/>
  <c r="F269" i="14"/>
  <c r="G269" i="14"/>
  <c r="H269" i="14"/>
  <c r="I269" i="14"/>
  <c r="J272" i="14"/>
  <c r="D275" i="14"/>
  <c r="E275" i="14"/>
  <c r="F275" i="14"/>
  <c r="G275" i="14"/>
  <c r="H275" i="14"/>
  <c r="I275" i="14"/>
  <c r="J278" i="14"/>
  <c r="J279" i="14"/>
  <c r="J280" i="14"/>
  <c r="D282" i="14"/>
  <c r="E282" i="14"/>
  <c r="F282" i="14"/>
  <c r="G282" i="14"/>
  <c r="H282" i="14"/>
  <c r="I282" i="14"/>
  <c r="J285" i="14"/>
  <c r="J286" i="14"/>
  <c r="D288" i="14"/>
  <c r="E288" i="14"/>
  <c r="F288" i="14"/>
  <c r="G288" i="14"/>
  <c r="H288" i="14"/>
  <c r="I288" i="14"/>
  <c r="J291" i="14"/>
  <c r="D294" i="14"/>
  <c r="E294" i="14"/>
  <c r="F294" i="14"/>
  <c r="G294" i="14"/>
  <c r="H294" i="14"/>
  <c r="I294" i="14"/>
  <c r="J297" i="14"/>
  <c r="D300" i="14"/>
  <c r="E300" i="14"/>
  <c r="F300" i="14"/>
  <c r="G300" i="14"/>
  <c r="H300" i="14"/>
  <c r="I300" i="14"/>
  <c r="J303" i="14"/>
  <c r="J304" i="14"/>
  <c r="D306" i="14"/>
  <c r="E306" i="14"/>
  <c r="F306" i="14"/>
  <c r="G306" i="14"/>
  <c r="H306" i="14"/>
  <c r="I306" i="14"/>
  <c r="J9" i="13"/>
  <c r="J10" i="13"/>
  <c r="D12" i="13"/>
  <c r="E12" i="13"/>
  <c r="F12" i="13"/>
  <c r="G12" i="13"/>
  <c r="H12" i="13"/>
  <c r="I12" i="13"/>
  <c r="J14" i="13"/>
  <c r="J15" i="13"/>
  <c r="D17" i="13"/>
  <c r="E17" i="13"/>
  <c r="F17" i="13"/>
  <c r="G17" i="13"/>
  <c r="H17" i="13"/>
  <c r="I17" i="13"/>
  <c r="J19" i="13"/>
  <c r="J20" i="13"/>
  <c r="D22" i="13"/>
  <c r="E22" i="13"/>
  <c r="F22" i="13"/>
  <c r="G22" i="13"/>
  <c r="H22" i="13"/>
  <c r="I22" i="13"/>
  <c r="J26" i="13"/>
  <c r="D28" i="13"/>
  <c r="E28" i="13"/>
  <c r="F28" i="13"/>
  <c r="G28" i="13"/>
  <c r="H28" i="13"/>
  <c r="I28" i="13"/>
  <c r="J32" i="13"/>
  <c r="D34" i="13"/>
  <c r="E34" i="13"/>
  <c r="F34" i="13"/>
  <c r="G34" i="13"/>
  <c r="H34" i="13"/>
  <c r="I34" i="13"/>
  <c r="J38" i="13"/>
  <c r="J39" i="13"/>
  <c r="D41" i="13"/>
  <c r="E41" i="13"/>
  <c r="F41" i="13"/>
  <c r="G41" i="13"/>
  <c r="H41" i="13"/>
  <c r="I41" i="13"/>
  <c r="J44" i="13"/>
  <c r="D46" i="13"/>
  <c r="E46" i="13"/>
  <c r="F46" i="13"/>
  <c r="G46" i="13"/>
  <c r="H46" i="13"/>
  <c r="I46" i="13"/>
  <c r="J51" i="13"/>
  <c r="J52" i="13"/>
  <c r="D54" i="13"/>
  <c r="E54" i="13"/>
  <c r="F54" i="13"/>
  <c r="G54" i="13"/>
  <c r="H54" i="13"/>
  <c r="I54" i="13"/>
  <c r="J57" i="13"/>
  <c r="J58" i="13"/>
  <c r="J59" i="13"/>
  <c r="J60" i="13"/>
  <c r="D62" i="13"/>
  <c r="E62" i="13"/>
  <c r="F62" i="13"/>
  <c r="G62" i="13"/>
  <c r="H62" i="13"/>
  <c r="I62" i="13"/>
  <c r="J64" i="13"/>
  <c r="D67" i="13"/>
  <c r="E67" i="13"/>
  <c r="F67" i="13"/>
  <c r="G67" i="13"/>
  <c r="H67" i="13"/>
  <c r="I67" i="13"/>
  <c r="J70" i="13"/>
  <c r="J71" i="13"/>
  <c r="D73" i="13"/>
  <c r="E73" i="13"/>
  <c r="F73" i="13"/>
  <c r="G73" i="13"/>
  <c r="H73" i="13"/>
  <c r="I73" i="13"/>
  <c r="J76" i="13"/>
  <c r="J77" i="13"/>
  <c r="J78" i="13"/>
  <c r="J79" i="13"/>
  <c r="D81" i="13"/>
  <c r="E81" i="13"/>
  <c r="F81" i="13"/>
  <c r="G81" i="13"/>
  <c r="H81" i="13"/>
  <c r="I81" i="13"/>
  <c r="J84" i="13"/>
  <c r="J85" i="13"/>
  <c r="D87" i="13"/>
  <c r="E87" i="13"/>
  <c r="F87" i="13"/>
  <c r="G87" i="13"/>
  <c r="H87" i="13"/>
  <c r="I87" i="13"/>
  <c r="J90" i="13"/>
  <c r="J91" i="13"/>
  <c r="J92" i="13"/>
  <c r="D94" i="13"/>
  <c r="E94" i="13"/>
  <c r="F94" i="13"/>
  <c r="G94" i="13"/>
  <c r="H94" i="13"/>
  <c r="I94" i="13"/>
  <c r="J97" i="13"/>
  <c r="D99" i="13"/>
  <c r="E99" i="13"/>
  <c r="F99" i="13"/>
  <c r="G99" i="13"/>
  <c r="H99" i="13"/>
  <c r="I99" i="13"/>
  <c r="J102" i="13"/>
  <c r="J103" i="13"/>
  <c r="D105" i="13"/>
  <c r="E105" i="13"/>
  <c r="F105" i="13"/>
  <c r="G105" i="13"/>
  <c r="H105" i="13"/>
  <c r="I105" i="13"/>
  <c r="J108" i="13"/>
  <c r="D110" i="13"/>
  <c r="E110" i="13"/>
  <c r="F110" i="13"/>
  <c r="G110" i="13"/>
  <c r="H110" i="13"/>
  <c r="I110" i="13"/>
  <c r="J113" i="13"/>
  <c r="J114" i="13"/>
  <c r="J115" i="13"/>
  <c r="J116" i="13"/>
  <c r="D118" i="13"/>
  <c r="E118" i="13"/>
  <c r="F118" i="13"/>
  <c r="G118" i="13"/>
  <c r="H118" i="13"/>
  <c r="I118" i="13"/>
  <c r="J121" i="13"/>
  <c r="J123" i="13" s="1"/>
  <c r="D123" i="13"/>
  <c r="E123" i="13"/>
  <c r="F123" i="13"/>
  <c r="G123" i="13"/>
  <c r="H123" i="13"/>
  <c r="I123" i="13"/>
  <c r="J126" i="13"/>
  <c r="D128" i="13"/>
  <c r="E128" i="13"/>
  <c r="F128" i="13"/>
  <c r="G128" i="13"/>
  <c r="H128" i="13"/>
  <c r="I128" i="13"/>
  <c r="J131" i="13"/>
  <c r="J132" i="13"/>
  <c r="D134" i="13"/>
  <c r="E134" i="13"/>
  <c r="F134" i="13"/>
  <c r="G134" i="13"/>
  <c r="H134" i="13"/>
  <c r="I134" i="13"/>
  <c r="J137" i="13"/>
  <c r="J138" i="13"/>
  <c r="D140" i="13"/>
  <c r="E140" i="13"/>
  <c r="F140" i="13"/>
  <c r="G140" i="13"/>
  <c r="H140" i="13"/>
  <c r="I140" i="13"/>
  <c r="J143" i="13"/>
  <c r="J144" i="13"/>
  <c r="J145" i="13"/>
  <c r="J146" i="13"/>
  <c r="D148" i="13"/>
  <c r="E148" i="13"/>
  <c r="F148" i="13"/>
  <c r="G148" i="13"/>
  <c r="J148" i="13" s="1"/>
  <c r="H148" i="13"/>
  <c r="I148" i="13"/>
  <c r="J151" i="13"/>
  <c r="D153" i="13"/>
  <c r="E153" i="13"/>
  <c r="F153" i="13"/>
  <c r="G153" i="13"/>
  <c r="H153" i="13"/>
  <c r="I153" i="13"/>
  <c r="J156" i="13"/>
  <c r="D158" i="13"/>
  <c r="E158" i="13"/>
  <c r="F158" i="13"/>
  <c r="G158" i="13"/>
  <c r="H158" i="13"/>
  <c r="I158" i="13"/>
  <c r="J161" i="13"/>
  <c r="D163" i="13"/>
  <c r="E163" i="13"/>
  <c r="F163" i="13"/>
  <c r="G163" i="13"/>
  <c r="H163" i="13"/>
  <c r="I163" i="13"/>
  <c r="J166" i="13"/>
  <c r="D168" i="13"/>
  <c r="E168" i="13"/>
  <c r="F168" i="13"/>
  <c r="G168" i="13"/>
  <c r="J168" i="13" s="1"/>
  <c r="H168" i="13"/>
  <c r="I168" i="13"/>
  <c r="J171" i="13"/>
  <c r="D173" i="13"/>
  <c r="E173" i="13"/>
  <c r="F173" i="13"/>
  <c r="G173" i="13"/>
  <c r="H173" i="13"/>
  <c r="I173" i="13"/>
  <c r="J176" i="13"/>
  <c r="D178" i="13"/>
  <c r="E178" i="13"/>
  <c r="F178" i="13"/>
  <c r="G178" i="13"/>
  <c r="H178" i="13"/>
  <c r="I178" i="13"/>
  <c r="J181" i="13"/>
  <c r="J182" i="13"/>
  <c r="D184" i="13"/>
  <c r="E184" i="13"/>
  <c r="F184" i="13"/>
  <c r="G184" i="13"/>
  <c r="H184" i="13"/>
  <c r="I184" i="13"/>
  <c r="J187" i="13"/>
  <c r="J188" i="13"/>
  <c r="J189" i="13"/>
  <c r="D191" i="13"/>
  <c r="E191" i="13"/>
  <c r="F191" i="13"/>
  <c r="G191" i="13"/>
  <c r="H191" i="13"/>
  <c r="I191" i="13"/>
  <c r="J194" i="13"/>
  <c r="D197" i="13"/>
  <c r="E197" i="13"/>
  <c r="F197" i="13"/>
  <c r="G197" i="13"/>
  <c r="H197" i="13"/>
  <c r="I197" i="13"/>
  <c r="J200" i="13"/>
  <c r="J201" i="13"/>
  <c r="J202" i="13"/>
  <c r="J203" i="13"/>
  <c r="D205" i="13"/>
  <c r="E205" i="13"/>
  <c r="F205" i="13"/>
  <c r="G205" i="13"/>
  <c r="H205" i="13"/>
  <c r="I205" i="13"/>
  <c r="J208" i="13"/>
  <c r="D210" i="13"/>
  <c r="E210" i="13"/>
  <c r="F210" i="13"/>
  <c r="G210" i="13"/>
  <c r="H210" i="13"/>
  <c r="I210" i="13"/>
  <c r="J213" i="13"/>
  <c r="J214" i="13"/>
  <c r="D216" i="13"/>
  <c r="E216" i="13"/>
  <c r="F216" i="13"/>
  <c r="G216" i="13"/>
  <c r="H216" i="13"/>
  <c r="I216" i="13"/>
  <c r="J219" i="13"/>
  <c r="J220" i="13"/>
  <c r="D222" i="13"/>
  <c r="E222" i="13"/>
  <c r="F222" i="13"/>
  <c r="G222" i="13"/>
  <c r="H222" i="13"/>
  <c r="I222" i="13"/>
  <c r="J225" i="13"/>
  <c r="J226" i="13"/>
  <c r="D228" i="13"/>
  <c r="E228" i="13"/>
  <c r="F228" i="13"/>
  <c r="G228" i="13"/>
  <c r="H228" i="13"/>
  <c r="I228" i="13"/>
  <c r="J231" i="13"/>
  <c r="D234" i="13"/>
  <c r="E234" i="13"/>
  <c r="F234" i="13"/>
  <c r="G234" i="13"/>
  <c r="H234" i="13"/>
  <c r="I234" i="13"/>
  <c r="J237" i="13"/>
  <c r="J238" i="13"/>
  <c r="D240" i="13"/>
  <c r="E240" i="13"/>
  <c r="F240" i="13"/>
  <c r="G240" i="13"/>
  <c r="H240" i="13"/>
  <c r="I240" i="13"/>
  <c r="J243" i="13"/>
  <c r="D245" i="13"/>
  <c r="E245" i="13"/>
  <c r="F245" i="13"/>
  <c r="G245" i="13"/>
  <c r="H245" i="13"/>
  <c r="I245" i="13"/>
  <c r="J248" i="13"/>
  <c r="J249" i="13"/>
  <c r="J250" i="13"/>
  <c r="D252" i="13"/>
  <c r="E252" i="13"/>
  <c r="F252" i="13"/>
  <c r="G252" i="13"/>
  <c r="H252" i="13"/>
  <c r="I252" i="13"/>
  <c r="J255" i="13"/>
  <c r="J256" i="13"/>
  <c r="D258" i="13"/>
  <c r="E258" i="13"/>
  <c r="F258" i="13"/>
  <c r="G258" i="13"/>
  <c r="H258" i="13"/>
  <c r="I258" i="13"/>
  <c r="J261" i="13"/>
  <c r="J262" i="13"/>
  <c r="D264" i="13"/>
  <c r="E264" i="13"/>
  <c r="F264" i="13"/>
  <c r="G264" i="13"/>
  <c r="H264" i="13"/>
  <c r="I264" i="13"/>
  <c r="J267" i="13"/>
  <c r="D269" i="13"/>
  <c r="E269" i="13"/>
  <c r="F269" i="13"/>
  <c r="G269" i="13"/>
  <c r="H269" i="13"/>
  <c r="I269" i="13"/>
  <c r="J272" i="13"/>
  <c r="D275" i="13"/>
  <c r="E275" i="13"/>
  <c r="F275" i="13"/>
  <c r="G275" i="13"/>
  <c r="H275" i="13"/>
  <c r="I275" i="13"/>
  <c r="J278" i="13"/>
  <c r="J279" i="13"/>
  <c r="J280" i="13"/>
  <c r="D282" i="13"/>
  <c r="E282" i="13"/>
  <c r="F282" i="13"/>
  <c r="G282" i="13"/>
  <c r="H282" i="13"/>
  <c r="I282" i="13"/>
  <c r="J285" i="13"/>
  <c r="J286" i="13"/>
  <c r="D288" i="13"/>
  <c r="E288" i="13"/>
  <c r="F288" i="13"/>
  <c r="G288" i="13"/>
  <c r="H288" i="13"/>
  <c r="I288" i="13"/>
  <c r="J291" i="13"/>
  <c r="D294" i="13"/>
  <c r="E294" i="13"/>
  <c r="F294" i="13"/>
  <c r="G294" i="13"/>
  <c r="H294" i="13"/>
  <c r="I294" i="13"/>
  <c r="J297" i="13"/>
  <c r="D300" i="13"/>
  <c r="E300" i="13"/>
  <c r="F300" i="13"/>
  <c r="G300" i="13"/>
  <c r="H300" i="13"/>
  <c r="I300" i="13"/>
  <c r="J303" i="13"/>
  <c r="J304" i="13"/>
  <c r="D306" i="13"/>
  <c r="E306" i="13"/>
  <c r="F306" i="13"/>
  <c r="G306" i="13"/>
  <c r="H306" i="13"/>
  <c r="I306" i="13"/>
  <c r="E128" i="10"/>
  <c r="F128" i="10"/>
  <c r="G128" i="10"/>
  <c r="H128" i="10"/>
  <c r="I128" i="10"/>
  <c r="J126" i="10"/>
  <c r="J128" i="10" s="1"/>
  <c r="D128" i="10"/>
  <c r="J9" i="12"/>
  <c r="J10" i="12"/>
  <c r="D12" i="12"/>
  <c r="E12" i="12"/>
  <c r="F12" i="12"/>
  <c r="G12" i="12"/>
  <c r="H12" i="12"/>
  <c r="I12" i="12"/>
  <c r="J14" i="12"/>
  <c r="J15" i="12"/>
  <c r="D17" i="12"/>
  <c r="E17" i="12"/>
  <c r="F17" i="12"/>
  <c r="G17" i="12"/>
  <c r="H17" i="12"/>
  <c r="I17" i="12"/>
  <c r="J19" i="12"/>
  <c r="J20" i="12"/>
  <c r="D22" i="12"/>
  <c r="E22" i="12"/>
  <c r="F22" i="12"/>
  <c r="G22" i="12"/>
  <c r="H22" i="12"/>
  <c r="I22" i="12"/>
  <c r="J26" i="12"/>
  <c r="D28" i="12"/>
  <c r="E28" i="12"/>
  <c r="F28" i="12"/>
  <c r="G28" i="12"/>
  <c r="H28" i="12"/>
  <c r="I28" i="12"/>
  <c r="J32" i="12"/>
  <c r="D34" i="12"/>
  <c r="E34" i="12"/>
  <c r="F34" i="12"/>
  <c r="G34" i="12"/>
  <c r="H34" i="12"/>
  <c r="I34" i="12"/>
  <c r="J38" i="12"/>
  <c r="J39" i="12"/>
  <c r="D41" i="12"/>
  <c r="E41" i="12"/>
  <c r="F41" i="12"/>
  <c r="G41" i="12"/>
  <c r="H41" i="12"/>
  <c r="I41" i="12"/>
  <c r="J44" i="12"/>
  <c r="D46" i="12"/>
  <c r="E46" i="12"/>
  <c r="F46" i="12"/>
  <c r="G46" i="12"/>
  <c r="H46" i="12"/>
  <c r="I46" i="12"/>
  <c r="J51" i="12"/>
  <c r="J52" i="12"/>
  <c r="D54" i="12"/>
  <c r="E54" i="12"/>
  <c r="F54" i="12"/>
  <c r="G54" i="12"/>
  <c r="H54" i="12"/>
  <c r="I54" i="12"/>
  <c r="J57" i="12"/>
  <c r="J58" i="12"/>
  <c r="J59" i="12"/>
  <c r="J60" i="12"/>
  <c r="D62" i="12"/>
  <c r="E62" i="12"/>
  <c r="F62" i="12"/>
  <c r="G62" i="12"/>
  <c r="H62" i="12"/>
  <c r="I62" i="12"/>
  <c r="J64" i="12"/>
  <c r="D67" i="12"/>
  <c r="E67" i="12"/>
  <c r="F67" i="12"/>
  <c r="G67" i="12"/>
  <c r="H67" i="12"/>
  <c r="I67" i="12"/>
  <c r="J70" i="12"/>
  <c r="J71" i="12"/>
  <c r="D73" i="12"/>
  <c r="E73" i="12"/>
  <c r="F73" i="12"/>
  <c r="G73" i="12"/>
  <c r="H73" i="12"/>
  <c r="I73" i="12"/>
  <c r="J76" i="12"/>
  <c r="J77" i="12"/>
  <c r="J78" i="12"/>
  <c r="J79" i="12"/>
  <c r="D81" i="12"/>
  <c r="E81" i="12"/>
  <c r="F81" i="12"/>
  <c r="G81" i="12"/>
  <c r="H81" i="12"/>
  <c r="I81" i="12"/>
  <c r="J84" i="12"/>
  <c r="J85" i="12"/>
  <c r="D87" i="12"/>
  <c r="E87" i="12"/>
  <c r="F87" i="12"/>
  <c r="G87" i="12"/>
  <c r="H87" i="12"/>
  <c r="I87" i="12"/>
  <c r="J90" i="12"/>
  <c r="J91" i="12"/>
  <c r="J92" i="12"/>
  <c r="D94" i="12"/>
  <c r="E94" i="12"/>
  <c r="F94" i="12"/>
  <c r="G94" i="12"/>
  <c r="H94" i="12"/>
  <c r="I94" i="12"/>
  <c r="J97" i="12"/>
  <c r="D99" i="12"/>
  <c r="E99" i="12"/>
  <c r="F99" i="12"/>
  <c r="G99" i="12"/>
  <c r="H99" i="12"/>
  <c r="I99" i="12"/>
  <c r="J102" i="12"/>
  <c r="J103" i="12"/>
  <c r="D105" i="12"/>
  <c r="E105" i="12"/>
  <c r="F105" i="12"/>
  <c r="G105" i="12"/>
  <c r="H105" i="12"/>
  <c r="I105" i="12"/>
  <c r="J108" i="12"/>
  <c r="D110" i="12"/>
  <c r="E110" i="12"/>
  <c r="F110" i="12"/>
  <c r="G110" i="12"/>
  <c r="H110" i="12"/>
  <c r="I110" i="12"/>
  <c r="J113" i="12"/>
  <c r="J114" i="12"/>
  <c r="J115" i="12"/>
  <c r="J116" i="12"/>
  <c r="D118" i="12"/>
  <c r="E118" i="12"/>
  <c r="F118" i="12"/>
  <c r="G118" i="12"/>
  <c r="H118" i="12"/>
  <c r="I118" i="12"/>
  <c r="J126" i="12"/>
  <c r="D128" i="12"/>
  <c r="E128" i="12"/>
  <c r="F128" i="12"/>
  <c r="G128" i="12"/>
  <c r="H128" i="12"/>
  <c r="I128" i="12"/>
  <c r="J131" i="12"/>
  <c r="J132" i="12"/>
  <c r="D134" i="12"/>
  <c r="E134" i="12"/>
  <c r="F134" i="12"/>
  <c r="G134" i="12"/>
  <c r="H134" i="12"/>
  <c r="I134" i="12"/>
  <c r="J137" i="12"/>
  <c r="J138" i="12"/>
  <c r="D140" i="12"/>
  <c r="E140" i="12"/>
  <c r="F140" i="12"/>
  <c r="G140" i="12"/>
  <c r="H140" i="12"/>
  <c r="I140" i="12"/>
  <c r="J143" i="12"/>
  <c r="J144" i="12"/>
  <c r="J145" i="12"/>
  <c r="J146" i="12"/>
  <c r="D148" i="12"/>
  <c r="E148" i="12"/>
  <c r="F148" i="12"/>
  <c r="G148" i="12"/>
  <c r="H148" i="12"/>
  <c r="I148" i="12"/>
  <c r="J151" i="12"/>
  <c r="D153" i="12"/>
  <c r="E153" i="12"/>
  <c r="F153" i="12"/>
  <c r="G153" i="12"/>
  <c r="H153" i="12"/>
  <c r="I153" i="12"/>
  <c r="J156" i="12"/>
  <c r="D158" i="12"/>
  <c r="E158" i="12"/>
  <c r="F158" i="12"/>
  <c r="G158" i="12"/>
  <c r="H158" i="12"/>
  <c r="I158" i="12"/>
  <c r="J161" i="12"/>
  <c r="D163" i="12"/>
  <c r="E163" i="12"/>
  <c r="F163" i="12"/>
  <c r="G163" i="12"/>
  <c r="H163" i="12"/>
  <c r="I163" i="12"/>
  <c r="J166" i="12"/>
  <c r="D168" i="12"/>
  <c r="E168" i="12"/>
  <c r="F168" i="12"/>
  <c r="G168" i="12"/>
  <c r="H168" i="12"/>
  <c r="I168" i="12"/>
  <c r="J171" i="12"/>
  <c r="D173" i="12"/>
  <c r="E173" i="12"/>
  <c r="F173" i="12"/>
  <c r="G173" i="12"/>
  <c r="H173" i="12"/>
  <c r="I173" i="12"/>
  <c r="J176" i="12"/>
  <c r="D178" i="12"/>
  <c r="E178" i="12"/>
  <c r="F178" i="12"/>
  <c r="G178" i="12"/>
  <c r="H178" i="12"/>
  <c r="I178" i="12"/>
  <c r="J181" i="12"/>
  <c r="J182" i="12"/>
  <c r="D184" i="12"/>
  <c r="E184" i="12"/>
  <c r="F184" i="12"/>
  <c r="G184" i="12"/>
  <c r="H184" i="12"/>
  <c r="I184" i="12"/>
  <c r="J187" i="12"/>
  <c r="J188" i="12"/>
  <c r="J189" i="12"/>
  <c r="D191" i="12"/>
  <c r="E191" i="12"/>
  <c r="F191" i="12"/>
  <c r="G191" i="12"/>
  <c r="H191" i="12"/>
  <c r="I191" i="12"/>
  <c r="J191" i="12"/>
  <c r="J194" i="12"/>
  <c r="D197" i="12"/>
  <c r="E197" i="12"/>
  <c r="F197" i="12"/>
  <c r="G197" i="12"/>
  <c r="H197" i="12"/>
  <c r="I197" i="12"/>
  <c r="J197" i="12"/>
  <c r="J200" i="12"/>
  <c r="J201" i="12"/>
  <c r="J202" i="12"/>
  <c r="J203" i="12"/>
  <c r="D205" i="12"/>
  <c r="E205" i="12"/>
  <c r="F205" i="12"/>
  <c r="G205" i="12"/>
  <c r="H205" i="12"/>
  <c r="I205" i="12"/>
  <c r="J208" i="12"/>
  <c r="D210" i="12"/>
  <c r="E210" i="12"/>
  <c r="F210" i="12"/>
  <c r="G210" i="12"/>
  <c r="H210" i="12"/>
  <c r="I210" i="12"/>
  <c r="J213" i="12"/>
  <c r="J214" i="12"/>
  <c r="D216" i="12"/>
  <c r="E216" i="12"/>
  <c r="F216" i="12"/>
  <c r="G216" i="12"/>
  <c r="H216" i="12"/>
  <c r="I216" i="12"/>
  <c r="J219" i="12"/>
  <c r="J220" i="12"/>
  <c r="D222" i="12"/>
  <c r="E222" i="12"/>
  <c r="F222" i="12"/>
  <c r="G222" i="12"/>
  <c r="H222" i="12"/>
  <c r="I222" i="12"/>
  <c r="J225" i="12"/>
  <c r="J226" i="12"/>
  <c r="D228" i="12"/>
  <c r="E228" i="12"/>
  <c r="F228" i="12"/>
  <c r="G228" i="12"/>
  <c r="H228" i="12"/>
  <c r="I228" i="12"/>
  <c r="J231" i="12"/>
  <c r="D234" i="12"/>
  <c r="E234" i="12"/>
  <c r="F234" i="12"/>
  <c r="G234" i="12"/>
  <c r="H234" i="12"/>
  <c r="I234" i="12"/>
  <c r="J237" i="12"/>
  <c r="J238" i="12"/>
  <c r="D240" i="12"/>
  <c r="E240" i="12"/>
  <c r="F240" i="12"/>
  <c r="G240" i="12"/>
  <c r="H240" i="12"/>
  <c r="I240" i="12"/>
  <c r="J243" i="12"/>
  <c r="D245" i="12"/>
  <c r="E245" i="12"/>
  <c r="F245" i="12"/>
  <c r="G245" i="12"/>
  <c r="H245" i="12"/>
  <c r="I245" i="12"/>
  <c r="J248" i="12"/>
  <c r="J252" i="12" s="1"/>
  <c r="J249" i="12"/>
  <c r="J250" i="12"/>
  <c r="D252" i="12"/>
  <c r="E252" i="12"/>
  <c r="F252" i="12"/>
  <c r="G252" i="12"/>
  <c r="H252" i="12"/>
  <c r="I252" i="12"/>
  <c r="J255" i="12"/>
  <c r="J256" i="12"/>
  <c r="D258" i="12"/>
  <c r="E258" i="12"/>
  <c r="F258" i="12"/>
  <c r="G258" i="12"/>
  <c r="H258" i="12"/>
  <c r="I258" i="12"/>
  <c r="J261" i="12"/>
  <c r="J262" i="12"/>
  <c r="D264" i="12"/>
  <c r="E264" i="12"/>
  <c r="F264" i="12"/>
  <c r="G264" i="12"/>
  <c r="H264" i="12"/>
  <c r="I264" i="12"/>
  <c r="J267" i="12"/>
  <c r="D269" i="12"/>
  <c r="E269" i="12"/>
  <c r="F269" i="12"/>
  <c r="G269" i="12"/>
  <c r="H269" i="12"/>
  <c r="I269" i="12"/>
  <c r="J272" i="12"/>
  <c r="D275" i="12"/>
  <c r="E275" i="12"/>
  <c r="F275" i="12"/>
  <c r="G275" i="12"/>
  <c r="H275" i="12"/>
  <c r="I275" i="12"/>
  <c r="J278" i="12"/>
  <c r="J279" i="12"/>
  <c r="J280" i="12"/>
  <c r="D282" i="12"/>
  <c r="E282" i="12"/>
  <c r="F282" i="12"/>
  <c r="G282" i="12"/>
  <c r="H282" i="12"/>
  <c r="I282" i="12"/>
  <c r="J285" i="12"/>
  <c r="J286" i="12"/>
  <c r="D288" i="12"/>
  <c r="E288" i="12"/>
  <c r="F288" i="12"/>
  <c r="G288" i="12"/>
  <c r="H288" i="12"/>
  <c r="I288" i="12"/>
  <c r="J291" i="12"/>
  <c r="D294" i="12"/>
  <c r="E294" i="12"/>
  <c r="F294" i="12"/>
  <c r="G294" i="12"/>
  <c r="H294" i="12"/>
  <c r="I294" i="12"/>
  <c r="J297" i="12"/>
  <c r="D300" i="12"/>
  <c r="E300" i="12"/>
  <c r="F300" i="12"/>
  <c r="G300" i="12"/>
  <c r="H300" i="12"/>
  <c r="I300" i="12"/>
  <c r="J303" i="12"/>
  <c r="J304" i="12"/>
  <c r="D306" i="12"/>
  <c r="E306" i="12"/>
  <c r="F306" i="12"/>
  <c r="G306" i="12"/>
  <c r="H306" i="12"/>
  <c r="I306" i="12"/>
  <c r="J257" i="10"/>
  <c r="J255" i="10"/>
  <c r="J256" i="10"/>
  <c r="I259" i="10"/>
  <c r="H259" i="10"/>
  <c r="G259" i="10"/>
  <c r="F259" i="10"/>
  <c r="E259" i="10"/>
  <c r="D259" i="10"/>
  <c r="J208" i="10"/>
  <c r="J209" i="10"/>
  <c r="J206" i="10"/>
  <c r="J207" i="10"/>
  <c r="I211" i="10"/>
  <c r="H211" i="10"/>
  <c r="G211" i="10"/>
  <c r="F211" i="10"/>
  <c r="E211" i="10"/>
  <c r="D211" i="10"/>
  <c r="J9" i="11"/>
  <c r="J10" i="11"/>
  <c r="D12" i="11"/>
  <c r="E12" i="11"/>
  <c r="F12" i="11"/>
  <c r="G12" i="11"/>
  <c r="H12" i="11"/>
  <c r="I12" i="11"/>
  <c r="J14" i="11"/>
  <c r="J15" i="11"/>
  <c r="D17" i="11"/>
  <c r="E17" i="11"/>
  <c r="F17" i="11"/>
  <c r="G17" i="11"/>
  <c r="H17" i="11"/>
  <c r="I17" i="11"/>
  <c r="J19" i="11"/>
  <c r="J20" i="11"/>
  <c r="D22" i="11"/>
  <c r="E22" i="11"/>
  <c r="F22" i="11"/>
  <c r="G22" i="11"/>
  <c r="H22" i="11"/>
  <c r="I22" i="11"/>
  <c r="J26" i="11"/>
  <c r="D28" i="11"/>
  <c r="E28" i="11"/>
  <c r="F28" i="11"/>
  <c r="F305" i="11" s="1"/>
  <c r="G28" i="11"/>
  <c r="H28" i="11"/>
  <c r="I28" i="11"/>
  <c r="J32" i="11"/>
  <c r="D34" i="11"/>
  <c r="E34" i="11"/>
  <c r="F34" i="11"/>
  <c r="G34" i="11"/>
  <c r="H34" i="11"/>
  <c r="I34" i="11"/>
  <c r="J38" i="11"/>
  <c r="J39" i="11"/>
  <c r="D41" i="11"/>
  <c r="E41" i="11"/>
  <c r="F41" i="11"/>
  <c r="G41" i="11"/>
  <c r="H41" i="11"/>
  <c r="I41" i="11"/>
  <c r="J44" i="11"/>
  <c r="D46" i="11"/>
  <c r="E46" i="11"/>
  <c r="F46" i="11"/>
  <c r="G46" i="11"/>
  <c r="H46" i="11"/>
  <c r="I46" i="11"/>
  <c r="J51" i="11"/>
  <c r="J52" i="11"/>
  <c r="D54" i="11"/>
  <c r="E54" i="11"/>
  <c r="F54" i="11"/>
  <c r="G54" i="11"/>
  <c r="H54" i="11"/>
  <c r="I54" i="11"/>
  <c r="J57" i="11"/>
  <c r="J58" i="11"/>
  <c r="J59" i="11"/>
  <c r="J60" i="11"/>
  <c r="D62" i="11"/>
  <c r="E62" i="11"/>
  <c r="F62" i="11"/>
  <c r="G62" i="11"/>
  <c r="H62" i="11"/>
  <c r="I62" i="11"/>
  <c r="J64" i="11"/>
  <c r="D67" i="11"/>
  <c r="E67" i="11"/>
  <c r="F67" i="11"/>
  <c r="G67" i="11"/>
  <c r="H67" i="11"/>
  <c r="I67" i="11"/>
  <c r="J70" i="11"/>
  <c r="J71" i="11"/>
  <c r="D73" i="11"/>
  <c r="E73" i="11"/>
  <c r="J73" i="11" s="1"/>
  <c r="F73" i="11"/>
  <c r="G73" i="11"/>
  <c r="H73" i="11"/>
  <c r="I73" i="11"/>
  <c r="J76" i="11"/>
  <c r="J77" i="11"/>
  <c r="J78" i="11"/>
  <c r="J79" i="11"/>
  <c r="D81" i="11"/>
  <c r="E81" i="11"/>
  <c r="F81" i="11"/>
  <c r="G81" i="11"/>
  <c r="H81" i="11"/>
  <c r="I81" i="11"/>
  <c r="J84" i="11"/>
  <c r="J85" i="11"/>
  <c r="D87" i="11"/>
  <c r="E87" i="11"/>
  <c r="F87" i="11"/>
  <c r="G87" i="11"/>
  <c r="H87" i="11"/>
  <c r="I87" i="11"/>
  <c r="J90" i="11"/>
  <c r="J91" i="11"/>
  <c r="J92" i="11"/>
  <c r="D94" i="11"/>
  <c r="E94" i="11"/>
  <c r="F94" i="11"/>
  <c r="G94" i="11"/>
  <c r="H94" i="11"/>
  <c r="I94" i="11"/>
  <c r="J97" i="11"/>
  <c r="D99" i="11"/>
  <c r="E99" i="11"/>
  <c r="F99" i="11"/>
  <c r="G99" i="11"/>
  <c r="H99" i="11"/>
  <c r="I99" i="11"/>
  <c r="J102" i="11"/>
  <c r="J103" i="11"/>
  <c r="D105" i="11"/>
  <c r="E105" i="11"/>
  <c r="F105" i="11"/>
  <c r="G105" i="11"/>
  <c r="H105" i="11"/>
  <c r="I105" i="11"/>
  <c r="J108" i="11"/>
  <c r="D110" i="11"/>
  <c r="E110" i="11"/>
  <c r="F110" i="11"/>
  <c r="G110" i="11"/>
  <c r="H110" i="11"/>
  <c r="I110" i="11"/>
  <c r="J113" i="11"/>
  <c r="J114" i="11"/>
  <c r="J115" i="11"/>
  <c r="J116" i="11"/>
  <c r="D118" i="11"/>
  <c r="E118" i="11"/>
  <c r="F118" i="11"/>
  <c r="G118" i="11"/>
  <c r="H118" i="11"/>
  <c r="I118" i="11"/>
  <c r="J126" i="11"/>
  <c r="D128" i="11"/>
  <c r="E128" i="11"/>
  <c r="F128" i="11"/>
  <c r="G128" i="11"/>
  <c r="H128" i="11"/>
  <c r="I128" i="11"/>
  <c r="J131" i="11"/>
  <c r="J132" i="11"/>
  <c r="D134" i="11"/>
  <c r="E134" i="11"/>
  <c r="F134" i="11"/>
  <c r="G134" i="11"/>
  <c r="H134" i="11"/>
  <c r="I134" i="11"/>
  <c r="J137" i="11"/>
  <c r="J138" i="11"/>
  <c r="D140" i="11"/>
  <c r="E140" i="11"/>
  <c r="F140" i="11"/>
  <c r="G140" i="11"/>
  <c r="H140" i="11"/>
  <c r="I140" i="11"/>
  <c r="J143" i="11"/>
  <c r="J144" i="11"/>
  <c r="J145" i="11"/>
  <c r="J146" i="11"/>
  <c r="D148" i="11"/>
  <c r="E148" i="11"/>
  <c r="F148" i="11"/>
  <c r="G148" i="11"/>
  <c r="H148" i="11"/>
  <c r="I148" i="11"/>
  <c r="J151" i="11"/>
  <c r="D153" i="11"/>
  <c r="E153" i="11"/>
  <c r="F153" i="11"/>
  <c r="G153" i="11"/>
  <c r="H153" i="11"/>
  <c r="I153" i="11"/>
  <c r="J156" i="11"/>
  <c r="D158" i="11"/>
  <c r="E158" i="11"/>
  <c r="F158" i="11"/>
  <c r="G158" i="11"/>
  <c r="H158" i="11"/>
  <c r="I158" i="11"/>
  <c r="J161" i="11"/>
  <c r="D163" i="11"/>
  <c r="E163" i="11"/>
  <c r="F163" i="11"/>
  <c r="G163" i="11"/>
  <c r="H163" i="11"/>
  <c r="I163" i="11"/>
  <c r="J166" i="11"/>
  <c r="D168" i="11"/>
  <c r="E168" i="11"/>
  <c r="F168" i="11"/>
  <c r="G168" i="11"/>
  <c r="H168" i="11"/>
  <c r="I168" i="11"/>
  <c r="J171" i="11"/>
  <c r="D173" i="11"/>
  <c r="E173" i="11"/>
  <c r="F173" i="11"/>
  <c r="G173" i="11"/>
  <c r="H173" i="11"/>
  <c r="I173" i="11"/>
  <c r="J176" i="11"/>
  <c r="D178" i="11"/>
  <c r="E178" i="11"/>
  <c r="F178" i="11"/>
  <c r="G178" i="11"/>
  <c r="H178" i="11"/>
  <c r="I178" i="11"/>
  <c r="J181" i="11"/>
  <c r="J182" i="11"/>
  <c r="D184" i="11"/>
  <c r="E184" i="11"/>
  <c r="F184" i="11"/>
  <c r="G184" i="11"/>
  <c r="H184" i="11"/>
  <c r="I184" i="11"/>
  <c r="J187" i="11"/>
  <c r="J188" i="11"/>
  <c r="J189" i="11"/>
  <c r="D191" i="11"/>
  <c r="E191" i="11"/>
  <c r="J191" i="11" s="1"/>
  <c r="F191" i="11"/>
  <c r="G191" i="11"/>
  <c r="H191" i="11"/>
  <c r="I191" i="11"/>
  <c r="J194" i="11"/>
  <c r="D197" i="11"/>
  <c r="E197" i="11"/>
  <c r="J197" i="11" s="1"/>
  <c r="F197" i="11"/>
  <c r="G197" i="11"/>
  <c r="H197" i="11"/>
  <c r="I197" i="11"/>
  <c r="J200" i="11"/>
  <c r="J201" i="11"/>
  <c r="D203" i="11"/>
  <c r="E203" i="11"/>
  <c r="F203" i="11"/>
  <c r="G203" i="11"/>
  <c r="H203" i="11"/>
  <c r="I203" i="11"/>
  <c r="J206" i="11"/>
  <c r="D208" i="11"/>
  <c r="E208" i="11"/>
  <c r="F208" i="11"/>
  <c r="G208" i="11"/>
  <c r="H208" i="11"/>
  <c r="I208" i="11"/>
  <c r="J211" i="11"/>
  <c r="J212" i="11"/>
  <c r="D214" i="11"/>
  <c r="E214" i="11"/>
  <c r="J214" i="11" s="1"/>
  <c r="F214" i="11"/>
  <c r="G214" i="11"/>
  <c r="H214" i="11"/>
  <c r="I214" i="11"/>
  <c r="J217" i="11"/>
  <c r="J218" i="11"/>
  <c r="D220" i="11"/>
  <c r="E220" i="11"/>
  <c r="F220" i="11"/>
  <c r="G220" i="11"/>
  <c r="H220" i="11"/>
  <c r="I220" i="11"/>
  <c r="J223" i="11"/>
  <c r="J224" i="11"/>
  <c r="D226" i="11"/>
  <c r="E226" i="11"/>
  <c r="F226" i="11"/>
  <c r="G226" i="11"/>
  <c r="H226" i="11"/>
  <c r="I226" i="11"/>
  <c r="J229" i="11"/>
  <c r="D232" i="11"/>
  <c r="E232" i="11"/>
  <c r="F232" i="11"/>
  <c r="G232" i="11"/>
  <c r="H232" i="11"/>
  <c r="I232" i="11"/>
  <c r="J235" i="11"/>
  <c r="J236" i="11"/>
  <c r="D238" i="11"/>
  <c r="E238" i="11"/>
  <c r="F238" i="11"/>
  <c r="G238" i="11"/>
  <c r="H238" i="11"/>
  <c r="I238" i="11"/>
  <c r="J241" i="11"/>
  <c r="D243" i="11"/>
  <c r="E243" i="11"/>
  <c r="F243" i="11"/>
  <c r="G243" i="11"/>
  <c r="H243" i="11"/>
  <c r="I243" i="11"/>
  <c r="J246" i="11"/>
  <c r="J247" i="11"/>
  <c r="D249" i="11"/>
  <c r="E249" i="11"/>
  <c r="F249" i="11"/>
  <c r="G249" i="11"/>
  <c r="H249" i="11"/>
  <c r="I249" i="11"/>
  <c r="J252" i="11"/>
  <c r="J253" i="11"/>
  <c r="D255" i="11"/>
  <c r="E255" i="11"/>
  <c r="F255" i="11"/>
  <c r="G255" i="11"/>
  <c r="H255" i="11"/>
  <c r="I255" i="11"/>
  <c r="J258" i="11"/>
  <c r="J259" i="11"/>
  <c r="D261" i="11"/>
  <c r="E261" i="11"/>
  <c r="F261" i="11"/>
  <c r="G261" i="11"/>
  <c r="H261" i="11"/>
  <c r="I261" i="11"/>
  <c r="J264" i="11"/>
  <c r="D266" i="11"/>
  <c r="E266" i="11"/>
  <c r="F266" i="11"/>
  <c r="G266" i="11"/>
  <c r="H266" i="11"/>
  <c r="I266" i="11"/>
  <c r="J269" i="11"/>
  <c r="D272" i="11"/>
  <c r="E272" i="11"/>
  <c r="F272" i="11"/>
  <c r="G272" i="11"/>
  <c r="H272" i="11"/>
  <c r="I272" i="11"/>
  <c r="J275" i="11"/>
  <c r="J276" i="11"/>
  <c r="J277" i="11"/>
  <c r="D279" i="11"/>
  <c r="E279" i="11"/>
  <c r="F279" i="11"/>
  <c r="G279" i="11"/>
  <c r="H279" i="11"/>
  <c r="I279" i="11"/>
  <c r="J282" i="11"/>
  <c r="J283" i="11"/>
  <c r="D285" i="11"/>
  <c r="E285" i="11"/>
  <c r="F285" i="11"/>
  <c r="G285" i="11"/>
  <c r="H285" i="11"/>
  <c r="I285" i="11"/>
  <c r="J288" i="11"/>
  <c r="D291" i="11"/>
  <c r="E291" i="11"/>
  <c r="F291" i="11"/>
  <c r="G291" i="11"/>
  <c r="H291" i="11"/>
  <c r="I291" i="11"/>
  <c r="J294" i="11"/>
  <c r="D297" i="11"/>
  <c r="E297" i="11"/>
  <c r="F297" i="11"/>
  <c r="G297" i="11"/>
  <c r="H297" i="11"/>
  <c r="I297" i="11"/>
  <c r="J300" i="11"/>
  <c r="J301" i="11"/>
  <c r="D303" i="11"/>
  <c r="E303" i="11"/>
  <c r="F303" i="11"/>
  <c r="G303" i="11"/>
  <c r="H303" i="11"/>
  <c r="I303" i="11"/>
  <c r="J9" i="1"/>
  <c r="J10" i="1"/>
  <c r="D11" i="1"/>
  <c r="E11" i="1"/>
  <c r="F11" i="1"/>
  <c r="G11" i="1"/>
  <c r="H11" i="1"/>
  <c r="J15" i="1"/>
  <c r="J16" i="1"/>
  <c r="D17" i="1"/>
  <c r="E17" i="1"/>
  <c r="F17" i="1"/>
  <c r="G17" i="1"/>
  <c r="H17" i="1"/>
  <c r="J21" i="1"/>
  <c r="J22" i="1"/>
  <c r="D23" i="1"/>
  <c r="E23" i="1"/>
  <c r="F23" i="1"/>
  <c r="G23" i="1"/>
  <c r="H23" i="1"/>
  <c r="J27" i="1"/>
  <c r="D29" i="1"/>
  <c r="E29" i="1"/>
  <c r="F29" i="1"/>
  <c r="G29" i="1"/>
  <c r="H29" i="1"/>
  <c r="J33" i="1"/>
  <c r="D35" i="1"/>
  <c r="E35" i="1"/>
  <c r="F35" i="1"/>
  <c r="G35" i="1"/>
  <c r="H35" i="1"/>
  <c r="J39" i="1"/>
  <c r="J40" i="1"/>
  <c r="D41" i="1"/>
  <c r="E41" i="1"/>
  <c r="F41" i="1"/>
  <c r="G41" i="1"/>
  <c r="H41" i="1"/>
  <c r="J45" i="1"/>
  <c r="D47" i="1"/>
  <c r="E47" i="1"/>
  <c r="F47" i="1"/>
  <c r="G47" i="1"/>
  <c r="H47" i="1"/>
  <c r="J51" i="1"/>
  <c r="J52" i="1"/>
  <c r="D53" i="1"/>
  <c r="E53" i="1"/>
  <c r="F53" i="1"/>
  <c r="G53" i="1"/>
  <c r="H53" i="1"/>
  <c r="J57" i="1"/>
  <c r="J58" i="1"/>
  <c r="D59" i="1"/>
  <c r="E59" i="1"/>
  <c r="F59" i="1"/>
  <c r="G59" i="1"/>
  <c r="H59" i="1"/>
  <c r="J63" i="1"/>
  <c r="J64" i="1"/>
  <c r="D65" i="1"/>
  <c r="E65" i="1"/>
  <c r="F65" i="1"/>
  <c r="G65" i="1"/>
  <c r="H65" i="1"/>
  <c r="J69" i="1"/>
  <c r="J70" i="1"/>
  <c r="D71" i="1"/>
  <c r="E71" i="1"/>
  <c r="F71" i="1"/>
  <c r="G71" i="1"/>
  <c r="H71" i="1"/>
  <c r="J75" i="1"/>
  <c r="J76" i="1"/>
  <c r="D77" i="1"/>
  <c r="E77" i="1"/>
  <c r="F77" i="1"/>
  <c r="G77" i="1"/>
  <c r="H77" i="1"/>
  <c r="J81" i="1"/>
  <c r="J82" i="1"/>
  <c r="D83" i="1"/>
  <c r="E83" i="1"/>
  <c r="F83" i="1"/>
  <c r="G83" i="1"/>
  <c r="H83" i="1"/>
  <c r="J87" i="1"/>
  <c r="J88" i="1"/>
  <c r="D89" i="1"/>
  <c r="E89" i="1"/>
  <c r="F89" i="1"/>
  <c r="G89" i="1"/>
  <c r="H89" i="1"/>
  <c r="J93" i="1"/>
  <c r="D95" i="1"/>
  <c r="E95" i="1"/>
  <c r="F95" i="1"/>
  <c r="G95" i="1"/>
  <c r="H95" i="1"/>
  <c r="J99" i="1"/>
  <c r="J100" i="1"/>
  <c r="D101" i="1"/>
  <c r="E101" i="1"/>
  <c r="F101" i="1"/>
  <c r="G101" i="1"/>
  <c r="H101" i="1"/>
  <c r="J105" i="1"/>
  <c r="D107" i="1"/>
  <c r="E107" i="1"/>
  <c r="F107" i="1"/>
  <c r="G107" i="1"/>
  <c r="H107" i="1"/>
  <c r="J111" i="1"/>
  <c r="J112" i="1"/>
  <c r="D113" i="1"/>
  <c r="E113" i="1"/>
  <c r="F113" i="1"/>
  <c r="G113" i="1"/>
  <c r="H113" i="1"/>
  <c r="J117" i="1"/>
  <c r="D119" i="1"/>
  <c r="E119" i="1"/>
  <c r="F119" i="1"/>
  <c r="G119" i="1"/>
  <c r="H119" i="1"/>
  <c r="J123" i="1"/>
  <c r="D125" i="1"/>
  <c r="E125" i="1"/>
  <c r="F125" i="1"/>
  <c r="G125" i="1"/>
  <c r="H125" i="1"/>
  <c r="J129" i="1"/>
  <c r="J130" i="1"/>
  <c r="D131" i="1"/>
  <c r="E131" i="1"/>
  <c r="F131" i="1"/>
  <c r="G131" i="1"/>
  <c r="H131" i="1"/>
  <c r="J135" i="1"/>
  <c r="J136" i="1"/>
  <c r="D137" i="1"/>
  <c r="E137" i="1"/>
  <c r="F137" i="1"/>
  <c r="G137" i="1"/>
  <c r="H137" i="1"/>
  <c r="J141" i="1"/>
  <c r="J142" i="1"/>
  <c r="D143" i="1"/>
  <c r="E143" i="1"/>
  <c r="F143" i="1"/>
  <c r="G143" i="1"/>
  <c r="H143" i="1"/>
  <c r="J147" i="1"/>
  <c r="D149" i="1"/>
  <c r="E149" i="1"/>
  <c r="F149" i="1"/>
  <c r="G149" i="1"/>
  <c r="H149" i="1"/>
  <c r="J153" i="1"/>
  <c r="D155" i="1"/>
  <c r="E155" i="1"/>
  <c r="F155" i="1"/>
  <c r="G155" i="1"/>
  <c r="H155" i="1"/>
  <c r="J159" i="1"/>
  <c r="D161" i="1"/>
  <c r="E161" i="1"/>
  <c r="F161" i="1"/>
  <c r="G161" i="1"/>
  <c r="H161" i="1"/>
  <c r="J165" i="1"/>
  <c r="J166" i="1"/>
  <c r="D167" i="1"/>
  <c r="E167" i="1"/>
  <c r="F167" i="1"/>
  <c r="G167" i="1"/>
  <c r="H167" i="1"/>
  <c r="J171" i="1"/>
  <c r="D173" i="1"/>
  <c r="E173" i="1"/>
  <c r="F173" i="1"/>
  <c r="G173" i="1"/>
  <c r="H173" i="1"/>
  <c r="J177" i="1"/>
  <c r="D179" i="1"/>
  <c r="E179" i="1"/>
  <c r="F179" i="1"/>
  <c r="G179" i="1"/>
  <c r="H179" i="1"/>
  <c r="J183" i="1"/>
  <c r="J184" i="1"/>
  <c r="D185" i="1"/>
  <c r="E185" i="1"/>
  <c r="F185" i="1"/>
  <c r="G185" i="1"/>
  <c r="H185" i="1"/>
  <c r="J189" i="1"/>
  <c r="J190" i="1"/>
  <c r="J191" i="1"/>
  <c r="D192" i="1"/>
  <c r="E192" i="1"/>
  <c r="F192" i="1"/>
  <c r="G192" i="1"/>
  <c r="H192" i="1"/>
  <c r="J196" i="1"/>
  <c r="J197" i="1"/>
  <c r="D198" i="1"/>
  <c r="E198" i="1"/>
  <c r="F198" i="1"/>
  <c r="G198" i="1"/>
  <c r="H198" i="1"/>
  <c r="J202" i="1"/>
  <c r="J203" i="1"/>
  <c r="D204" i="1"/>
  <c r="E204" i="1"/>
  <c r="F204" i="1"/>
  <c r="G204" i="1"/>
  <c r="H204" i="1"/>
  <c r="J208" i="1"/>
  <c r="D211" i="1"/>
  <c r="E211" i="1"/>
  <c r="F211" i="1"/>
  <c r="G211" i="1"/>
  <c r="H211" i="1"/>
  <c r="J215" i="1"/>
  <c r="J216" i="1"/>
  <c r="D217" i="1"/>
  <c r="E217" i="1"/>
  <c r="F217" i="1"/>
  <c r="G217" i="1"/>
  <c r="H217" i="1"/>
  <c r="J221" i="1"/>
  <c r="J222" i="1"/>
  <c r="D223" i="1"/>
  <c r="E223" i="1"/>
  <c r="F223" i="1"/>
  <c r="G223" i="1"/>
  <c r="H223" i="1"/>
  <c r="J227" i="1"/>
  <c r="J228" i="1"/>
  <c r="D229" i="1"/>
  <c r="E229" i="1"/>
  <c r="F229" i="1"/>
  <c r="G229" i="1"/>
  <c r="H229" i="1"/>
  <c r="J233" i="1"/>
  <c r="J234" i="1"/>
  <c r="D235" i="1"/>
  <c r="E235" i="1"/>
  <c r="F235" i="1"/>
  <c r="G235" i="1"/>
  <c r="H235" i="1"/>
  <c r="J239" i="1"/>
  <c r="J240" i="1"/>
  <c r="D241" i="1"/>
  <c r="E241" i="1"/>
  <c r="F241" i="1"/>
  <c r="G241" i="1"/>
  <c r="H241" i="1"/>
  <c r="J245" i="1"/>
  <c r="D247" i="1"/>
  <c r="E247" i="1"/>
  <c r="F247" i="1"/>
  <c r="G247" i="1"/>
  <c r="H247" i="1"/>
  <c r="J251" i="1"/>
  <c r="J252" i="1"/>
  <c r="D253" i="1"/>
  <c r="E253" i="1"/>
  <c r="F253" i="1"/>
  <c r="G253" i="1"/>
  <c r="H253" i="1"/>
  <c r="J257" i="1"/>
  <c r="J258" i="1"/>
  <c r="D259" i="1"/>
  <c r="E259" i="1"/>
  <c r="F259" i="1"/>
  <c r="G259" i="1"/>
  <c r="H259" i="1"/>
  <c r="J263" i="1"/>
  <c r="J264" i="1"/>
  <c r="D265" i="1"/>
  <c r="E265" i="1"/>
  <c r="F265" i="1"/>
  <c r="G265" i="1"/>
  <c r="H265" i="1"/>
  <c r="J269" i="1"/>
  <c r="D271" i="1"/>
  <c r="E271" i="1"/>
  <c r="F271" i="1"/>
  <c r="G271" i="1"/>
  <c r="H271" i="1"/>
  <c r="J275" i="1"/>
  <c r="J276" i="1"/>
  <c r="D277" i="1"/>
  <c r="E277" i="1"/>
  <c r="F277" i="1"/>
  <c r="G277" i="1"/>
  <c r="H277" i="1"/>
  <c r="J281" i="1"/>
  <c r="J282" i="1"/>
  <c r="D283" i="1"/>
  <c r="E283" i="1"/>
  <c r="F283" i="1"/>
  <c r="G283" i="1"/>
  <c r="H283" i="1"/>
  <c r="J287" i="1"/>
  <c r="J288" i="1"/>
  <c r="D289" i="1"/>
  <c r="E289" i="1"/>
  <c r="F289" i="1"/>
  <c r="G289" i="1"/>
  <c r="H289" i="1"/>
  <c r="J293" i="1"/>
  <c r="J294" i="1"/>
  <c r="D295" i="1"/>
  <c r="E295" i="1"/>
  <c r="F295" i="1"/>
  <c r="G295" i="1"/>
  <c r="H295" i="1"/>
  <c r="J299" i="1"/>
  <c r="J300" i="1"/>
  <c r="D301" i="1"/>
  <c r="E301" i="1"/>
  <c r="F301" i="1"/>
  <c r="G301" i="1"/>
  <c r="H301" i="1"/>
  <c r="J305" i="1"/>
  <c r="D307" i="1"/>
  <c r="E307" i="1"/>
  <c r="F307" i="1"/>
  <c r="G307" i="1"/>
  <c r="H307" i="1"/>
  <c r="J9" i="2"/>
  <c r="J10" i="2"/>
  <c r="D11" i="2"/>
  <c r="E11" i="2"/>
  <c r="F11" i="2"/>
  <c r="G11" i="2"/>
  <c r="H11" i="2"/>
  <c r="J15" i="2"/>
  <c r="J16" i="2"/>
  <c r="D17" i="2"/>
  <c r="E17" i="2"/>
  <c r="G17" i="2"/>
  <c r="H17" i="2"/>
  <c r="J21" i="2"/>
  <c r="J22" i="2"/>
  <c r="D23" i="2"/>
  <c r="E23" i="2"/>
  <c r="F23" i="2"/>
  <c r="G23" i="2"/>
  <c r="H23" i="2"/>
  <c r="J27" i="2"/>
  <c r="J28" i="2"/>
  <c r="D29" i="2"/>
  <c r="E29" i="2"/>
  <c r="F29" i="2"/>
  <c r="G29" i="2"/>
  <c r="H29" i="2"/>
  <c r="J33" i="2"/>
  <c r="J34" i="2"/>
  <c r="D35" i="2"/>
  <c r="E35" i="2"/>
  <c r="F35" i="2"/>
  <c r="G35" i="2"/>
  <c r="H35" i="2"/>
  <c r="J39" i="2"/>
  <c r="J40" i="2"/>
  <c r="D41" i="2"/>
  <c r="E41" i="2"/>
  <c r="F41" i="2"/>
  <c r="G41" i="2"/>
  <c r="H41" i="2"/>
  <c r="J45" i="2"/>
  <c r="J46" i="2"/>
  <c r="D47" i="2"/>
  <c r="E47" i="2"/>
  <c r="F47" i="2"/>
  <c r="G47" i="2"/>
  <c r="H47" i="2"/>
  <c r="J51" i="2"/>
  <c r="J52" i="2"/>
  <c r="D53" i="2"/>
  <c r="E53" i="2"/>
  <c r="F53" i="2"/>
  <c r="G53" i="2"/>
  <c r="H53" i="2"/>
  <c r="J57" i="2"/>
  <c r="J58" i="2"/>
  <c r="D59" i="2"/>
  <c r="E59" i="2"/>
  <c r="F59" i="2"/>
  <c r="G59" i="2"/>
  <c r="H59" i="2"/>
  <c r="J63" i="2"/>
  <c r="J64" i="2"/>
  <c r="D65" i="2"/>
  <c r="E65" i="2"/>
  <c r="F65" i="2"/>
  <c r="G65" i="2"/>
  <c r="H65" i="2"/>
  <c r="J69" i="2"/>
  <c r="J70" i="2"/>
  <c r="D71" i="2"/>
  <c r="E71" i="2"/>
  <c r="F71" i="2"/>
  <c r="G71" i="2"/>
  <c r="H71" i="2"/>
  <c r="J75" i="2"/>
  <c r="J76" i="2"/>
  <c r="D77" i="2"/>
  <c r="E77" i="2"/>
  <c r="F77" i="2"/>
  <c r="G77" i="2"/>
  <c r="H77" i="2"/>
  <c r="J81" i="2"/>
  <c r="J82" i="2"/>
  <c r="D83" i="2"/>
  <c r="E83" i="2"/>
  <c r="F83" i="2"/>
  <c r="G83" i="2"/>
  <c r="H83" i="2"/>
  <c r="J87" i="2"/>
  <c r="J88" i="2"/>
  <c r="D89" i="2"/>
  <c r="E89" i="2"/>
  <c r="F89" i="2"/>
  <c r="G89" i="2"/>
  <c r="H89" i="2"/>
  <c r="J93" i="2"/>
  <c r="J94" i="2"/>
  <c r="D95" i="2"/>
  <c r="E95" i="2"/>
  <c r="F95" i="2"/>
  <c r="G95" i="2"/>
  <c r="H95" i="2"/>
  <c r="J99" i="2"/>
  <c r="J100" i="2"/>
  <c r="D101" i="2"/>
  <c r="E101" i="2"/>
  <c r="F101" i="2"/>
  <c r="G101" i="2"/>
  <c r="H101" i="2"/>
  <c r="J105" i="2"/>
  <c r="J106" i="2"/>
  <c r="D107" i="2"/>
  <c r="E107" i="2"/>
  <c r="F107" i="2"/>
  <c r="G107" i="2"/>
  <c r="H107" i="2"/>
  <c r="J111" i="2"/>
  <c r="J112" i="2"/>
  <c r="D113" i="2"/>
  <c r="E113" i="2"/>
  <c r="F113" i="2"/>
  <c r="G113" i="2"/>
  <c r="H113" i="2"/>
  <c r="J117" i="2"/>
  <c r="J118" i="2"/>
  <c r="E119" i="2"/>
  <c r="F119" i="2"/>
  <c r="G119" i="2"/>
  <c r="H119" i="2"/>
  <c r="J123" i="2"/>
  <c r="J124" i="2"/>
  <c r="D125" i="2"/>
  <c r="E125" i="2"/>
  <c r="F125" i="2"/>
  <c r="G125" i="2"/>
  <c r="H125" i="2"/>
  <c r="J129" i="2"/>
  <c r="J130" i="2"/>
  <c r="D131" i="2"/>
  <c r="E131" i="2"/>
  <c r="F131" i="2"/>
  <c r="G131" i="2"/>
  <c r="H131" i="2"/>
  <c r="J135" i="2"/>
  <c r="J136" i="2"/>
  <c r="D137" i="2"/>
  <c r="E137" i="2"/>
  <c r="F137" i="2"/>
  <c r="G137" i="2"/>
  <c r="H137" i="2"/>
  <c r="J141" i="2"/>
  <c r="J142" i="2"/>
  <c r="D143" i="2"/>
  <c r="E143" i="2"/>
  <c r="F143" i="2"/>
  <c r="G143" i="2"/>
  <c r="H143" i="2"/>
  <c r="J147" i="2"/>
  <c r="J148" i="2"/>
  <c r="D149" i="2"/>
  <c r="E149" i="2"/>
  <c r="F149" i="2"/>
  <c r="G149" i="2"/>
  <c r="H149" i="2"/>
  <c r="J153" i="2"/>
  <c r="J154" i="2"/>
  <c r="D155" i="2"/>
  <c r="E155" i="2"/>
  <c r="F155" i="2"/>
  <c r="G155" i="2"/>
  <c r="H155" i="2"/>
  <c r="J159" i="2"/>
  <c r="J160" i="2"/>
  <c r="D161" i="2"/>
  <c r="E161" i="2"/>
  <c r="F161" i="2"/>
  <c r="G161" i="2"/>
  <c r="H161" i="2"/>
  <c r="J165" i="2"/>
  <c r="J166" i="2"/>
  <c r="D167" i="2"/>
  <c r="E167" i="2"/>
  <c r="F167" i="2"/>
  <c r="G167" i="2"/>
  <c r="H167" i="2"/>
  <c r="J171" i="2"/>
  <c r="J172" i="2"/>
  <c r="D173" i="2"/>
  <c r="E173" i="2"/>
  <c r="F173" i="2"/>
  <c r="G173" i="2"/>
  <c r="H173" i="2"/>
  <c r="J177" i="2"/>
  <c r="J178" i="2"/>
  <c r="D179" i="2"/>
  <c r="E179" i="2"/>
  <c r="F179" i="2"/>
  <c r="G179" i="2"/>
  <c r="H179" i="2"/>
  <c r="J183" i="2"/>
  <c r="J184" i="2"/>
  <c r="D185" i="2"/>
  <c r="E185" i="2"/>
  <c r="F185" i="2"/>
  <c r="G185" i="2"/>
  <c r="H185" i="2"/>
  <c r="J189" i="2"/>
  <c r="J190" i="2"/>
  <c r="J191" i="2"/>
  <c r="D192" i="2"/>
  <c r="E192" i="2"/>
  <c r="F192" i="2"/>
  <c r="G192" i="2"/>
  <c r="H192" i="2"/>
  <c r="J196" i="2"/>
  <c r="J197" i="2"/>
  <c r="D198" i="2"/>
  <c r="E198" i="2"/>
  <c r="F198" i="2"/>
  <c r="G198" i="2"/>
  <c r="H198" i="2"/>
  <c r="J201" i="2"/>
  <c r="J202" i="2"/>
  <c r="D203" i="2"/>
  <c r="E203" i="2"/>
  <c r="F203" i="2"/>
  <c r="G203" i="2"/>
  <c r="H203" i="2"/>
  <c r="J206" i="2"/>
  <c r="J207" i="2"/>
  <c r="D208" i="2"/>
  <c r="E208" i="2"/>
  <c r="F208" i="2"/>
  <c r="G208" i="2"/>
  <c r="H208" i="2"/>
  <c r="J212" i="2"/>
  <c r="J213" i="2"/>
  <c r="D214" i="2"/>
  <c r="E214" i="2"/>
  <c r="F214" i="2"/>
  <c r="G214" i="2"/>
  <c r="H214" i="2"/>
  <c r="J217" i="2"/>
  <c r="J218" i="2"/>
  <c r="D219" i="2"/>
  <c r="E219" i="2"/>
  <c r="F219" i="2"/>
  <c r="G219" i="2"/>
  <c r="H219" i="2"/>
  <c r="J223" i="2"/>
  <c r="J224" i="2"/>
  <c r="D225" i="2"/>
  <c r="E225" i="2"/>
  <c r="F225" i="2"/>
  <c r="G225" i="2"/>
  <c r="H225" i="2"/>
  <c r="J228" i="2"/>
  <c r="J229" i="2"/>
  <c r="D230" i="2"/>
  <c r="E230" i="2"/>
  <c r="F230" i="2"/>
  <c r="G230" i="2"/>
  <c r="H230" i="2"/>
  <c r="J233" i="2"/>
  <c r="J234" i="2"/>
  <c r="D235" i="2"/>
  <c r="E235" i="2"/>
  <c r="F235" i="2"/>
  <c r="G235" i="2"/>
  <c r="H235" i="2"/>
  <c r="J238" i="2"/>
  <c r="J239" i="2"/>
  <c r="D240" i="2"/>
  <c r="E240" i="2"/>
  <c r="F240" i="2"/>
  <c r="G240" i="2"/>
  <c r="H240" i="2"/>
  <c r="J244" i="2"/>
  <c r="J245" i="2"/>
  <c r="D246" i="2"/>
  <c r="E246" i="2"/>
  <c r="F246" i="2"/>
  <c r="G246" i="2"/>
  <c r="H246" i="2"/>
  <c r="J250" i="2"/>
  <c r="J251" i="2"/>
  <c r="D252" i="2"/>
  <c r="E252" i="2"/>
  <c r="F252" i="2"/>
  <c r="G252" i="2"/>
  <c r="H252" i="2"/>
  <c r="J256" i="2"/>
  <c r="J257" i="2"/>
  <c r="D258" i="2"/>
  <c r="E258" i="2"/>
  <c r="F258" i="2"/>
  <c r="G258" i="2"/>
  <c r="H258" i="2"/>
  <c r="J262" i="2"/>
  <c r="J263" i="2"/>
  <c r="D264" i="2"/>
  <c r="E264" i="2"/>
  <c r="F264" i="2"/>
  <c r="G264" i="2"/>
  <c r="H264" i="2"/>
  <c r="J268" i="2"/>
  <c r="J269" i="2"/>
  <c r="D270" i="2"/>
  <c r="E270" i="2"/>
  <c r="F270" i="2"/>
  <c r="G270" i="2"/>
  <c r="H270" i="2"/>
  <c r="J274" i="2"/>
  <c r="J275" i="2"/>
  <c r="D276" i="2"/>
  <c r="E276" i="2"/>
  <c r="F276" i="2"/>
  <c r="G276" i="2"/>
  <c r="H276" i="2"/>
  <c r="J280" i="2"/>
  <c r="J281" i="2"/>
  <c r="D282" i="2"/>
  <c r="E282" i="2"/>
  <c r="F282" i="2"/>
  <c r="G282" i="2"/>
  <c r="H282" i="2"/>
  <c r="J286" i="2"/>
  <c r="J287" i="2"/>
  <c r="D288" i="2"/>
  <c r="E288" i="2"/>
  <c r="F288" i="2"/>
  <c r="G288" i="2"/>
  <c r="H288" i="2"/>
  <c r="J292" i="2"/>
  <c r="J293" i="2"/>
  <c r="D294" i="2"/>
  <c r="E294" i="2"/>
  <c r="F294" i="2"/>
  <c r="G294" i="2"/>
  <c r="H294" i="2"/>
  <c r="J298" i="2"/>
  <c r="J299" i="2"/>
  <c r="D300" i="2"/>
  <c r="E300" i="2"/>
  <c r="F300" i="2"/>
  <c r="G300" i="2"/>
  <c r="H300" i="2"/>
  <c r="J9" i="3"/>
  <c r="J10" i="3"/>
  <c r="D11" i="3"/>
  <c r="E11" i="3"/>
  <c r="F11" i="3"/>
  <c r="G11" i="3"/>
  <c r="H11" i="3"/>
  <c r="J16" i="3"/>
  <c r="J17" i="3"/>
  <c r="D18" i="3"/>
  <c r="E18" i="3"/>
  <c r="F18" i="3"/>
  <c r="G18" i="3"/>
  <c r="H18" i="3"/>
  <c r="J22" i="3"/>
  <c r="J23" i="3"/>
  <c r="D24" i="3"/>
  <c r="E24" i="3"/>
  <c r="F24" i="3"/>
  <c r="G24" i="3"/>
  <c r="H24" i="3"/>
  <c r="J28" i="3"/>
  <c r="J29" i="3"/>
  <c r="D30" i="3"/>
  <c r="E30" i="3"/>
  <c r="F30" i="3"/>
  <c r="G30" i="3"/>
  <c r="H30" i="3"/>
  <c r="J34" i="3"/>
  <c r="D36" i="3"/>
  <c r="E36" i="3"/>
  <c r="F36" i="3"/>
  <c r="G36" i="3"/>
  <c r="H36" i="3"/>
  <c r="J40" i="3"/>
  <c r="J41" i="3"/>
  <c r="D42" i="3"/>
  <c r="E42" i="3"/>
  <c r="F42" i="3"/>
  <c r="G42" i="3"/>
  <c r="H42" i="3"/>
  <c r="J45" i="3"/>
  <c r="J46" i="3"/>
  <c r="D47" i="3"/>
  <c r="E47" i="3"/>
  <c r="F47" i="3"/>
  <c r="G47" i="3"/>
  <c r="H47" i="3"/>
  <c r="J52" i="3"/>
  <c r="J53" i="3"/>
  <c r="D54" i="3"/>
  <c r="E54" i="3"/>
  <c r="F54" i="3"/>
  <c r="G54" i="3"/>
  <c r="H54" i="3"/>
  <c r="J57" i="3"/>
  <c r="J58" i="3"/>
  <c r="D59" i="3"/>
  <c r="E59" i="3"/>
  <c r="F59" i="3"/>
  <c r="G59" i="3"/>
  <c r="H59" i="3"/>
  <c r="J63" i="3"/>
  <c r="J64" i="3"/>
  <c r="D65" i="3"/>
  <c r="E65" i="3"/>
  <c r="F65" i="3"/>
  <c r="G65" i="3"/>
  <c r="H65" i="3"/>
  <c r="J68" i="3"/>
  <c r="J69" i="3"/>
  <c r="D70" i="3"/>
  <c r="E70" i="3"/>
  <c r="F70" i="3"/>
  <c r="G70" i="3"/>
  <c r="H70" i="3"/>
  <c r="J73" i="3"/>
  <c r="J74" i="3"/>
  <c r="J75" i="3"/>
  <c r="D76" i="3"/>
  <c r="E76" i="3"/>
  <c r="F76" i="3"/>
  <c r="G76" i="3"/>
  <c r="H76" i="3"/>
  <c r="J79" i="3"/>
  <c r="J80" i="3"/>
  <c r="D81" i="3"/>
  <c r="E81" i="3"/>
  <c r="F81" i="3"/>
  <c r="G81" i="3"/>
  <c r="H81" i="3"/>
  <c r="J84" i="3"/>
  <c r="J85" i="3"/>
  <c r="D86" i="3"/>
  <c r="E86" i="3"/>
  <c r="F86" i="3"/>
  <c r="G86" i="3"/>
  <c r="H86" i="3"/>
  <c r="J89" i="3"/>
  <c r="J90" i="3"/>
  <c r="D91" i="3"/>
  <c r="E91" i="3"/>
  <c r="F91" i="3"/>
  <c r="G91" i="3"/>
  <c r="H91" i="3"/>
  <c r="J94" i="3"/>
  <c r="J95" i="3"/>
  <c r="D96" i="3"/>
  <c r="E96" i="3"/>
  <c r="F96" i="3"/>
  <c r="G96" i="3"/>
  <c r="H96" i="3"/>
  <c r="J99" i="3"/>
  <c r="J100" i="3"/>
  <c r="D101" i="3"/>
  <c r="E101" i="3"/>
  <c r="F101" i="3"/>
  <c r="G101" i="3"/>
  <c r="H101" i="3"/>
  <c r="J104" i="3"/>
  <c r="J105" i="3"/>
  <c r="D106" i="3"/>
  <c r="E106" i="3"/>
  <c r="F106" i="3"/>
  <c r="G106" i="3"/>
  <c r="H106" i="3"/>
  <c r="J109" i="3"/>
  <c r="J110" i="3"/>
  <c r="J111" i="3"/>
  <c r="J114" i="3"/>
  <c r="J115" i="3"/>
  <c r="D116" i="3"/>
  <c r="E116" i="3"/>
  <c r="F116" i="3"/>
  <c r="G116" i="3"/>
  <c r="H116" i="3"/>
  <c r="J119" i="3"/>
  <c r="J120" i="3"/>
  <c r="D121" i="3"/>
  <c r="E121" i="3"/>
  <c r="F121" i="3"/>
  <c r="G121" i="3"/>
  <c r="H121" i="3"/>
  <c r="J124" i="3"/>
  <c r="J125" i="3"/>
  <c r="D126" i="3"/>
  <c r="E126" i="3"/>
  <c r="F126" i="3"/>
  <c r="G126" i="3"/>
  <c r="H126" i="3"/>
  <c r="J129" i="3"/>
  <c r="J130" i="3"/>
  <c r="D131" i="3"/>
  <c r="E131" i="3"/>
  <c r="F131" i="3"/>
  <c r="G131" i="3"/>
  <c r="H131" i="3"/>
  <c r="J134" i="3"/>
  <c r="J135" i="3"/>
  <c r="D136" i="3"/>
  <c r="E136" i="3"/>
  <c r="F136" i="3"/>
  <c r="G136" i="3"/>
  <c r="H136" i="3"/>
  <c r="J139" i="3"/>
  <c r="J140" i="3"/>
  <c r="D141" i="3"/>
  <c r="E141" i="3"/>
  <c r="F141" i="3"/>
  <c r="G141" i="3"/>
  <c r="H141" i="3"/>
  <c r="J144" i="3"/>
  <c r="J145" i="3"/>
  <c r="D146" i="3"/>
  <c r="E146" i="3"/>
  <c r="F146" i="3"/>
  <c r="G146" i="3"/>
  <c r="H146" i="3"/>
  <c r="J149" i="3"/>
  <c r="J150" i="3"/>
  <c r="D151" i="3"/>
  <c r="E151" i="3"/>
  <c r="F151" i="3"/>
  <c r="G151" i="3"/>
  <c r="H151" i="3"/>
  <c r="J154" i="3"/>
  <c r="J155" i="3"/>
  <c r="D156" i="3"/>
  <c r="E156" i="3"/>
  <c r="F156" i="3"/>
  <c r="G156" i="3"/>
  <c r="H156" i="3"/>
  <c r="J159" i="3"/>
  <c r="J160" i="3"/>
  <c r="D161" i="3"/>
  <c r="E161" i="3"/>
  <c r="F161" i="3"/>
  <c r="G161" i="3"/>
  <c r="H161" i="3"/>
  <c r="J164" i="3"/>
  <c r="J165" i="3"/>
  <c r="D166" i="3"/>
  <c r="E166" i="3"/>
  <c r="F166" i="3"/>
  <c r="G166" i="3"/>
  <c r="H166" i="3"/>
  <c r="J169" i="3"/>
  <c r="J170" i="3"/>
  <c r="J171" i="3"/>
  <c r="D172" i="3"/>
  <c r="E172" i="3"/>
  <c r="F172" i="3"/>
  <c r="G172" i="3"/>
  <c r="H172" i="3"/>
  <c r="J175" i="3"/>
  <c r="J176" i="3"/>
  <c r="D177" i="3"/>
  <c r="E177" i="3"/>
  <c r="F177" i="3"/>
  <c r="G177" i="3"/>
  <c r="H177" i="3"/>
  <c r="J180" i="3"/>
  <c r="J181" i="3"/>
  <c r="D182" i="3"/>
  <c r="E182" i="3"/>
  <c r="F182" i="3"/>
  <c r="G182" i="3"/>
  <c r="H182" i="3"/>
  <c r="J185" i="3"/>
  <c r="J186" i="3"/>
  <c r="D187" i="3"/>
  <c r="E187" i="3"/>
  <c r="F187" i="3"/>
  <c r="G187" i="3"/>
  <c r="H187" i="3"/>
  <c r="J190" i="3"/>
  <c r="J191" i="3"/>
  <c r="D192" i="3"/>
  <c r="E192" i="3"/>
  <c r="F192" i="3"/>
  <c r="G192" i="3"/>
  <c r="H192" i="3"/>
  <c r="J195" i="3"/>
  <c r="J196" i="3"/>
  <c r="D197" i="3"/>
  <c r="E197" i="3"/>
  <c r="F197" i="3"/>
  <c r="G197" i="3"/>
  <c r="H197" i="3"/>
  <c r="J200" i="3"/>
  <c r="J201" i="3"/>
  <c r="D202" i="3"/>
  <c r="E202" i="3"/>
  <c r="F202" i="3"/>
  <c r="G202" i="3"/>
  <c r="H202" i="3"/>
  <c r="J205" i="3"/>
  <c r="J206" i="3"/>
  <c r="D207" i="3"/>
  <c r="E207" i="3"/>
  <c r="F207" i="3"/>
  <c r="G207" i="3"/>
  <c r="H207" i="3"/>
  <c r="J211" i="3"/>
  <c r="J212" i="3"/>
  <c r="D213" i="3"/>
  <c r="E213" i="3"/>
  <c r="F213" i="3"/>
  <c r="G213" i="3"/>
  <c r="H213" i="3"/>
  <c r="J216" i="3"/>
  <c r="J217" i="3"/>
  <c r="D218" i="3"/>
  <c r="E218" i="3"/>
  <c r="F218" i="3"/>
  <c r="G218" i="3"/>
  <c r="H218" i="3"/>
  <c r="J221" i="3"/>
  <c r="J222" i="3"/>
  <c r="D223" i="3"/>
  <c r="E223" i="3"/>
  <c r="F223" i="3"/>
  <c r="G223" i="3"/>
  <c r="H223" i="3"/>
  <c r="J226" i="3"/>
  <c r="J227" i="3"/>
  <c r="D228" i="3"/>
  <c r="E228" i="3"/>
  <c r="F228" i="3"/>
  <c r="G228" i="3"/>
  <c r="H228" i="3"/>
  <c r="J231" i="3"/>
  <c r="J232" i="3"/>
  <c r="D233" i="3"/>
  <c r="E233" i="3"/>
  <c r="F233" i="3"/>
  <c r="G233" i="3"/>
  <c r="H233" i="3"/>
  <c r="J236" i="3"/>
  <c r="J237" i="3"/>
  <c r="D238" i="3"/>
  <c r="E238" i="3"/>
  <c r="F238" i="3"/>
  <c r="G238" i="3"/>
  <c r="H238" i="3"/>
  <c r="J241" i="3"/>
  <c r="J242" i="3"/>
  <c r="D243" i="3"/>
  <c r="E243" i="3"/>
  <c r="F243" i="3"/>
  <c r="G243" i="3"/>
  <c r="H243" i="3"/>
  <c r="J246" i="3"/>
  <c r="J247" i="3"/>
  <c r="J248" i="3"/>
  <c r="D249" i="3"/>
  <c r="E249" i="3"/>
  <c r="F249" i="3"/>
  <c r="G249" i="3"/>
  <c r="H249" i="3"/>
  <c r="J252" i="3"/>
  <c r="J253" i="3"/>
  <c r="D254" i="3"/>
  <c r="E254" i="3"/>
  <c r="F254" i="3"/>
  <c r="G254" i="3"/>
  <c r="H254" i="3"/>
  <c r="J257" i="3"/>
  <c r="J258" i="3"/>
  <c r="D259" i="3"/>
  <c r="E259" i="3"/>
  <c r="F259" i="3"/>
  <c r="G259" i="3"/>
  <c r="H259" i="3"/>
  <c r="J262" i="3"/>
  <c r="J263" i="3"/>
  <c r="D264" i="3"/>
  <c r="E264" i="3"/>
  <c r="F264" i="3"/>
  <c r="G264" i="3"/>
  <c r="H264" i="3"/>
  <c r="J267" i="3"/>
  <c r="J268" i="3"/>
  <c r="D269" i="3"/>
  <c r="E269" i="3"/>
  <c r="F269" i="3"/>
  <c r="G269" i="3"/>
  <c r="H269" i="3"/>
  <c r="J9" i="4"/>
  <c r="J10" i="4"/>
  <c r="D12" i="4"/>
  <c r="E12" i="4"/>
  <c r="F12" i="4"/>
  <c r="G12" i="4"/>
  <c r="H12" i="4"/>
  <c r="J14" i="4"/>
  <c r="J15" i="4"/>
  <c r="D17" i="4"/>
  <c r="E17" i="4"/>
  <c r="F17" i="4"/>
  <c r="G17" i="4"/>
  <c r="H17" i="4"/>
  <c r="J19" i="4"/>
  <c r="J20" i="4"/>
  <c r="D22" i="4"/>
  <c r="E22" i="4"/>
  <c r="F22" i="4"/>
  <c r="G22" i="4"/>
  <c r="H22" i="4"/>
  <c r="J26" i="4"/>
  <c r="J27" i="4"/>
  <c r="D28" i="4"/>
  <c r="E28" i="4"/>
  <c r="F28" i="4"/>
  <c r="G28" i="4"/>
  <c r="H28" i="4"/>
  <c r="J32" i="4"/>
  <c r="D34" i="4"/>
  <c r="E34" i="4"/>
  <c r="F34" i="4"/>
  <c r="G34" i="4"/>
  <c r="H34" i="4"/>
  <c r="J38" i="4"/>
  <c r="J39" i="4"/>
  <c r="D41" i="4"/>
  <c r="E41" i="4"/>
  <c r="F41" i="4"/>
  <c r="G41" i="4"/>
  <c r="H41" i="4"/>
  <c r="J44" i="4"/>
  <c r="J45" i="4"/>
  <c r="D46" i="4"/>
  <c r="E46" i="4"/>
  <c r="F46" i="4"/>
  <c r="G46" i="4"/>
  <c r="H46" i="4"/>
  <c r="J51" i="4"/>
  <c r="J52" i="4"/>
  <c r="D54" i="4"/>
  <c r="E54" i="4"/>
  <c r="F54" i="4"/>
  <c r="G54" i="4"/>
  <c r="H54" i="4"/>
  <c r="J57" i="4"/>
  <c r="J58" i="4"/>
  <c r="D60" i="4"/>
  <c r="E60" i="4"/>
  <c r="F60" i="4"/>
  <c r="G60" i="4"/>
  <c r="H60" i="4"/>
  <c r="J64" i="4"/>
  <c r="J65" i="4"/>
  <c r="D67" i="4"/>
  <c r="E67" i="4"/>
  <c r="F67" i="4"/>
  <c r="G67" i="4"/>
  <c r="H67" i="4"/>
  <c r="J70" i="4"/>
  <c r="J71" i="4"/>
  <c r="D73" i="4"/>
  <c r="E73" i="4"/>
  <c r="F73" i="4"/>
  <c r="G73" i="4"/>
  <c r="H73" i="4"/>
  <c r="J76" i="4"/>
  <c r="J77" i="4"/>
  <c r="J78" i="4"/>
  <c r="J79" i="4"/>
  <c r="D81" i="4"/>
  <c r="E81" i="4"/>
  <c r="F81" i="4"/>
  <c r="G81" i="4"/>
  <c r="H81" i="4"/>
  <c r="J84" i="4"/>
  <c r="J85" i="4"/>
  <c r="D87" i="4"/>
  <c r="E87" i="4"/>
  <c r="F87" i="4"/>
  <c r="G87" i="4"/>
  <c r="H87" i="4"/>
  <c r="J90" i="4"/>
  <c r="J91" i="4"/>
  <c r="D93" i="4"/>
  <c r="E93" i="4"/>
  <c r="F93" i="4"/>
  <c r="G93" i="4"/>
  <c r="H93" i="4"/>
  <c r="J96" i="4"/>
  <c r="J97" i="4"/>
  <c r="D98" i="4"/>
  <c r="E98" i="4"/>
  <c r="F98" i="4"/>
  <c r="G98" i="4"/>
  <c r="H98" i="4"/>
  <c r="J101" i="4"/>
  <c r="J102" i="4"/>
  <c r="D104" i="4"/>
  <c r="E104" i="4"/>
  <c r="F104" i="4"/>
  <c r="G104" i="4"/>
  <c r="H104" i="4"/>
  <c r="J107" i="4"/>
  <c r="J108" i="4"/>
  <c r="D109" i="4"/>
  <c r="E109" i="4"/>
  <c r="F109" i="4"/>
  <c r="G109" i="4"/>
  <c r="H109" i="4"/>
  <c r="J112" i="4"/>
  <c r="J113" i="4"/>
  <c r="D115" i="4"/>
  <c r="E115" i="4"/>
  <c r="F115" i="4"/>
  <c r="G115" i="4"/>
  <c r="H115" i="4"/>
  <c r="J118" i="4"/>
  <c r="J119" i="4"/>
  <c r="J120" i="4"/>
  <c r="J123" i="4"/>
  <c r="J124" i="4"/>
  <c r="D125" i="4"/>
  <c r="E125" i="4"/>
  <c r="F125" i="4"/>
  <c r="G125" i="4"/>
  <c r="H125" i="4"/>
  <c r="J128" i="4"/>
  <c r="J129" i="4"/>
  <c r="D131" i="4"/>
  <c r="E131" i="4"/>
  <c r="F131" i="4"/>
  <c r="G131" i="4"/>
  <c r="H131" i="4"/>
  <c r="J134" i="4"/>
  <c r="J135" i="4"/>
  <c r="D137" i="4"/>
  <c r="E137" i="4"/>
  <c r="F137" i="4"/>
  <c r="G137" i="4"/>
  <c r="H137" i="4"/>
  <c r="J140" i="4"/>
  <c r="J141" i="4"/>
  <c r="J142" i="4"/>
  <c r="D144" i="4"/>
  <c r="E144" i="4"/>
  <c r="F144" i="4"/>
  <c r="G144" i="4"/>
  <c r="H144" i="4"/>
  <c r="J147" i="4"/>
  <c r="J148" i="4"/>
  <c r="D149" i="4"/>
  <c r="E149" i="4"/>
  <c r="F149" i="4"/>
  <c r="G149" i="4"/>
  <c r="H149" i="4"/>
  <c r="J152" i="4"/>
  <c r="J153" i="4"/>
  <c r="D154" i="4"/>
  <c r="E154" i="4"/>
  <c r="F154" i="4"/>
  <c r="G154" i="4"/>
  <c r="H154" i="4"/>
  <c r="J157" i="4"/>
  <c r="J158" i="4"/>
  <c r="D159" i="4"/>
  <c r="E159" i="4"/>
  <c r="F159" i="4"/>
  <c r="G159" i="4"/>
  <c r="H159" i="4"/>
  <c r="J162" i="4"/>
  <c r="J163" i="4"/>
  <c r="D165" i="4"/>
  <c r="E165" i="4"/>
  <c r="F165" i="4"/>
  <c r="G165" i="4"/>
  <c r="H165" i="4"/>
  <c r="J168" i="4"/>
  <c r="J169" i="4"/>
  <c r="D170" i="4"/>
  <c r="E170" i="4"/>
  <c r="F170" i="4"/>
  <c r="G170" i="4"/>
  <c r="H170" i="4"/>
  <c r="J173" i="4"/>
  <c r="J174" i="4"/>
  <c r="D175" i="4"/>
  <c r="E175" i="4"/>
  <c r="F175" i="4"/>
  <c r="G175" i="4"/>
  <c r="H175" i="4"/>
  <c r="J178" i="4"/>
  <c r="J179" i="4"/>
  <c r="D181" i="4"/>
  <c r="E181" i="4"/>
  <c r="F181" i="4"/>
  <c r="G181" i="4"/>
  <c r="H181" i="4"/>
  <c r="J184" i="4"/>
  <c r="J185" i="4"/>
  <c r="J186" i="4"/>
  <c r="D188" i="4"/>
  <c r="E188" i="4"/>
  <c r="F188" i="4"/>
  <c r="G188" i="4"/>
  <c r="H188" i="4"/>
  <c r="J191" i="4"/>
  <c r="J192" i="4"/>
  <c r="D194" i="4"/>
  <c r="E194" i="4"/>
  <c r="F194" i="4"/>
  <c r="G194" i="4"/>
  <c r="H194" i="4"/>
  <c r="J197" i="4"/>
  <c r="J198" i="4"/>
  <c r="D200" i="4"/>
  <c r="E200" i="4"/>
  <c r="F200" i="4"/>
  <c r="G200" i="4"/>
  <c r="H200" i="4"/>
  <c r="J203" i="4"/>
  <c r="J204" i="4"/>
  <c r="D205" i="4"/>
  <c r="E205" i="4"/>
  <c r="F205" i="4"/>
  <c r="G205" i="4"/>
  <c r="H205" i="4"/>
  <c r="J208" i="4"/>
  <c r="J209" i="4"/>
  <c r="D211" i="4"/>
  <c r="E211" i="4"/>
  <c r="F211" i="4"/>
  <c r="G211" i="4"/>
  <c r="H211" i="4"/>
  <c r="J214" i="4"/>
  <c r="J215" i="4"/>
  <c r="D217" i="4"/>
  <c r="E217" i="4"/>
  <c r="F217" i="4"/>
  <c r="G217" i="4"/>
  <c r="H217" i="4"/>
  <c r="J220" i="4"/>
  <c r="J221" i="4"/>
  <c r="D223" i="4"/>
  <c r="E223" i="4"/>
  <c r="F223" i="4"/>
  <c r="G223" i="4"/>
  <c r="H223" i="4"/>
  <c r="J226" i="4"/>
  <c r="J227" i="4"/>
  <c r="D229" i="4"/>
  <c r="E229" i="4"/>
  <c r="F229" i="4"/>
  <c r="G229" i="4"/>
  <c r="H229" i="4"/>
  <c r="J232" i="4"/>
  <c r="J233" i="4"/>
  <c r="D235" i="4"/>
  <c r="E235" i="4"/>
  <c r="F235" i="4"/>
  <c r="G235" i="4"/>
  <c r="H235" i="4"/>
  <c r="J238" i="4"/>
  <c r="J239" i="4"/>
  <c r="D240" i="4"/>
  <c r="E240" i="4"/>
  <c r="F240" i="4"/>
  <c r="G240" i="4"/>
  <c r="H240" i="4"/>
  <c r="J243" i="4"/>
  <c r="J244" i="4"/>
  <c r="D246" i="4"/>
  <c r="E246" i="4"/>
  <c r="F246" i="4"/>
  <c r="G246" i="4"/>
  <c r="H246" i="4"/>
  <c r="J249" i="4"/>
  <c r="J250" i="4"/>
  <c r="D252" i="4"/>
  <c r="E252" i="4"/>
  <c r="F252" i="4"/>
  <c r="G252" i="4"/>
  <c r="H252" i="4"/>
  <c r="J255" i="4"/>
  <c r="J256" i="4"/>
  <c r="D258" i="4"/>
  <c r="E258" i="4"/>
  <c r="F258" i="4"/>
  <c r="G258" i="4"/>
  <c r="H258" i="4"/>
  <c r="J261" i="4"/>
  <c r="J262" i="4"/>
  <c r="D263" i="4"/>
  <c r="E263" i="4"/>
  <c r="F263" i="4"/>
  <c r="G263" i="4"/>
  <c r="H263" i="4"/>
  <c r="J266" i="4"/>
  <c r="J267" i="4"/>
  <c r="D269" i="4"/>
  <c r="E269" i="4"/>
  <c r="F269" i="4"/>
  <c r="G269" i="4"/>
  <c r="H269" i="4"/>
  <c r="J272" i="4"/>
  <c r="J273" i="4"/>
  <c r="J274" i="4"/>
  <c r="D276" i="4"/>
  <c r="E276" i="4"/>
  <c r="F276" i="4"/>
  <c r="G276" i="4"/>
  <c r="H276" i="4"/>
  <c r="J279" i="4"/>
  <c r="J280" i="4"/>
  <c r="D282" i="4"/>
  <c r="E282" i="4"/>
  <c r="F282" i="4"/>
  <c r="G282" i="4"/>
  <c r="H282" i="4"/>
  <c r="J285" i="4"/>
  <c r="J286" i="4"/>
  <c r="D288" i="4"/>
  <c r="E288" i="4"/>
  <c r="F288" i="4"/>
  <c r="G288" i="4"/>
  <c r="H288" i="4"/>
  <c r="J291" i="4"/>
  <c r="J292" i="4"/>
  <c r="D294" i="4"/>
  <c r="E294" i="4"/>
  <c r="F294" i="4"/>
  <c r="G294" i="4"/>
  <c r="H294" i="4"/>
  <c r="J297" i="4"/>
  <c r="J298" i="4"/>
  <c r="D299" i="4"/>
  <c r="E299" i="4"/>
  <c r="F299" i="4"/>
  <c r="G299" i="4"/>
  <c r="H299" i="4"/>
  <c r="F301" i="4"/>
  <c r="J9" i="5"/>
  <c r="J10" i="5"/>
  <c r="D12" i="5"/>
  <c r="E12" i="5"/>
  <c r="F12" i="5"/>
  <c r="G12" i="5"/>
  <c r="H12" i="5"/>
  <c r="I12" i="5"/>
  <c r="J14" i="5"/>
  <c r="J15" i="5"/>
  <c r="D17" i="5"/>
  <c r="E17" i="5"/>
  <c r="F17" i="5"/>
  <c r="G17" i="5"/>
  <c r="H17" i="5"/>
  <c r="I17" i="5"/>
  <c r="J19" i="5"/>
  <c r="J20" i="5"/>
  <c r="D22" i="5"/>
  <c r="E22" i="5"/>
  <c r="F22" i="5"/>
  <c r="G22" i="5"/>
  <c r="H22" i="5"/>
  <c r="I22" i="5"/>
  <c r="J26" i="5"/>
  <c r="J27" i="5"/>
  <c r="D28" i="5"/>
  <c r="E28" i="5"/>
  <c r="F28" i="5"/>
  <c r="G28" i="5"/>
  <c r="H28" i="5"/>
  <c r="I28" i="5"/>
  <c r="J32" i="5"/>
  <c r="D34" i="5"/>
  <c r="E34" i="5"/>
  <c r="F34" i="5"/>
  <c r="G34" i="5"/>
  <c r="H34" i="5"/>
  <c r="I34" i="5"/>
  <c r="J38" i="5"/>
  <c r="J39" i="5"/>
  <c r="D41" i="5"/>
  <c r="E41" i="5"/>
  <c r="F41" i="5"/>
  <c r="G41" i="5"/>
  <c r="H41" i="5"/>
  <c r="I41" i="5"/>
  <c r="J44" i="5"/>
  <c r="J45" i="5"/>
  <c r="D46" i="5"/>
  <c r="E46" i="5"/>
  <c r="F46" i="5"/>
  <c r="G46" i="5"/>
  <c r="H46" i="5"/>
  <c r="I46" i="5"/>
  <c r="J51" i="5"/>
  <c r="J52" i="5"/>
  <c r="D54" i="5"/>
  <c r="E54" i="5"/>
  <c r="F54" i="5"/>
  <c r="G54" i="5"/>
  <c r="H54" i="5"/>
  <c r="I54" i="5"/>
  <c r="J57" i="5"/>
  <c r="J58" i="5"/>
  <c r="D62" i="5"/>
  <c r="E62" i="5"/>
  <c r="F62" i="5"/>
  <c r="G62" i="5"/>
  <c r="H62" i="5"/>
  <c r="I62" i="5"/>
  <c r="J64" i="5"/>
  <c r="D67" i="5"/>
  <c r="E67" i="5"/>
  <c r="F67" i="5"/>
  <c r="G67" i="5"/>
  <c r="H67" i="5"/>
  <c r="I67" i="5"/>
  <c r="J70" i="5"/>
  <c r="J71" i="5"/>
  <c r="D73" i="5"/>
  <c r="E73" i="5"/>
  <c r="F73" i="5"/>
  <c r="G73" i="5"/>
  <c r="H73" i="5"/>
  <c r="I73" i="5"/>
  <c r="J76" i="5"/>
  <c r="J77" i="5"/>
  <c r="J78" i="5"/>
  <c r="J79" i="5"/>
  <c r="D81" i="5"/>
  <c r="E81" i="5"/>
  <c r="F81" i="5"/>
  <c r="G81" i="5"/>
  <c r="H81" i="5"/>
  <c r="I81" i="5"/>
  <c r="J84" i="5"/>
  <c r="J85" i="5"/>
  <c r="D87" i="5"/>
  <c r="E87" i="5"/>
  <c r="F87" i="5"/>
  <c r="G87" i="5"/>
  <c r="H87" i="5"/>
  <c r="I87" i="5"/>
  <c r="J90" i="5"/>
  <c r="J91" i="5"/>
  <c r="D93" i="5"/>
  <c r="E93" i="5"/>
  <c r="F93" i="5"/>
  <c r="G93" i="5"/>
  <c r="H93" i="5"/>
  <c r="J96" i="5"/>
  <c r="J97" i="5"/>
  <c r="D98" i="5"/>
  <c r="E98" i="5"/>
  <c r="F98" i="5"/>
  <c r="G98" i="5"/>
  <c r="H98" i="5"/>
  <c r="J101" i="5"/>
  <c r="J102" i="5"/>
  <c r="D104" i="5"/>
  <c r="E104" i="5"/>
  <c r="F104" i="5"/>
  <c r="G104" i="5"/>
  <c r="H104" i="5"/>
  <c r="I104" i="5"/>
  <c r="J107" i="5"/>
  <c r="J108" i="5"/>
  <c r="D109" i="5"/>
  <c r="E109" i="5"/>
  <c r="F109" i="5"/>
  <c r="G109" i="5"/>
  <c r="H109" i="5"/>
  <c r="J112" i="5"/>
  <c r="J113" i="5"/>
  <c r="D116" i="5"/>
  <c r="E116" i="5"/>
  <c r="F116" i="5"/>
  <c r="G116" i="5"/>
  <c r="H116" i="5"/>
  <c r="J118" i="5"/>
  <c r="J119" i="5"/>
  <c r="J120" i="5"/>
  <c r="J123" i="5"/>
  <c r="J124" i="5"/>
  <c r="D125" i="5"/>
  <c r="E125" i="5"/>
  <c r="F125" i="5"/>
  <c r="G125" i="5"/>
  <c r="H125" i="5"/>
  <c r="I125" i="5"/>
  <c r="J128" i="5"/>
  <c r="J129" i="5"/>
  <c r="D131" i="5"/>
  <c r="E131" i="5"/>
  <c r="F131" i="5"/>
  <c r="G131" i="5"/>
  <c r="H131" i="5"/>
  <c r="I131" i="5"/>
  <c r="J134" i="5"/>
  <c r="J135" i="5"/>
  <c r="D137" i="5"/>
  <c r="E137" i="5"/>
  <c r="F137" i="5"/>
  <c r="G137" i="5"/>
  <c r="H137" i="5"/>
  <c r="I137" i="5"/>
  <c r="J140" i="5"/>
  <c r="J141" i="5"/>
  <c r="J142" i="5"/>
  <c r="D144" i="5"/>
  <c r="E144" i="5"/>
  <c r="F144" i="5"/>
  <c r="G144" i="5"/>
  <c r="H144" i="5"/>
  <c r="I144" i="5"/>
  <c r="J147" i="5"/>
  <c r="J148" i="5"/>
  <c r="D149" i="5"/>
  <c r="E149" i="5"/>
  <c r="F149" i="5"/>
  <c r="G149" i="5"/>
  <c r="H149" i="5"/>
  <c r="J152" i="5"/>
  <c r="J153" i="5"/>
  <c r="D154" i="5"/>
  <c r="E154" i="5"/>
  <c r="F154" i="5"/>
  <c r="G154" i="5"/>
  <c r="H154" i="5"/>
  <c r="J157" i="5"/>
  <c r="J158" i="5"/>
  <c r="D159" i="5"/>
  <c r="E159" i="5"/>
  <c r="F159" i="5"/>
  <c r="G159" i="5"/>
  <c r="H159" i="5"/>
  <c r="J162" i="5"/>
  <c r="D165" i="5"/>
  <c r="E165" i="5"/>
  <c r="F165" i="5"/>
  <c r="G165" i="5"/>
  <c r="H165" i="5"/>
  <c r="J168" i="5"/>
  <c r="D170" i="5"/>
  <c r="E170" i="5"/>
  <c r="F170" i="5"/>
  <c r="G170" i="5"/>
  <c r="H170" i="5"/>
  <c r="J173" i="5"/>
  <c r="J174" i="5"/>
  <c r="D175" i="5"/>
  <c r="E175" i="5"/>
  <c r="F175" i="5"/>
  <c r="G175" i="5"/>
  <c r="H175" i="5"/>
  <c r="J178" i="5"/>
  <c r="J179" i="5"/>
  <c r="D181" i="5"/>
  <c r="E181" i="5"/>
  <c r="F181" i="5"/>
  <c r="G181" i="5"/>
  <c r="H181" i="5"/>
  <c r="J184" i="5"/>
  <c r="J185" i="5"/>
  <c r="J186" i="5"/>
  <c r="D188" i="5"/>
  <c r="E188" i="5"/>
  <c r="F188" i="5"/>
  <c r="G188" i="5"/>
  <c r="H188" i="5"/>
  <c r="J191" i="5"/>
  <c r="J192" i="5"/>
  <c r="D194" i="5"/>
  <c r="E194" i="5"/>
  <c r="F194" i="5"/>
  <c r="G194" i="5"/>
  <c r="H194" i="5"/>
  <c r="J197" i="5"/>
  <c r="J198" i="5"/>
  <c r="D200" i="5"/>
  <c r="E200" i="5"/>
  <c r="F200" i="5"/>
  <c r="G200" i="5"/>
  <c r="H200" i="5"/>
  <c r="I200" i="5"/>
  <c r="J203" i="5"/>
  <c r="J204" i="5"/>
  <c r="D205" i="5"/>
  <c r="E205" i="5"/>
  <c r="F205" i="5"/>
  <c r="G205" i="5"/>
  <c r="H205" i="5"/>
  <c r="J208" i="5"/>
  <c r="J209" i="5"/>
  <c r="D211" i="5"/>
  <c r="E211" i="5"/>
  <c r="F211" i="5"/>
  <c r="G211" i="5"/>
  <c r="H211" i="5"/>
  <c r="J214" i="5"/>
  <c r="J215" i="5"/>
  <c r="D217" i="5"/>
  <c r="E217" i="5"/>
  <c r="J217" i="5" s="1"/>
  <c r="F217" i="5"/>
  <c r="G217" i="5"/>
  <c r="H217" i="5"/>
  <c r="J220" i="5"/>
  <c r="J221" i="5"/>
  <c r="D223" i="5"/>
  <c r="E223" i="5"/>
  <c r="F223" i="5"/>
  <c r="G223" i="5"/>
  <c r="H223" i="5"/>
  <c r="J226" i="5"/>
  <c r="J227" i="5"/>
  <c r="D229" i="5"/>
  <c r="E229" i="5"/>
  <c r="F229" i="5"/>
  <c r="G229" i="5"/>
  <c r="H229" i="5"/>
  <c r="J232" i="5"/>
  <c r="J233" i="5"/>
  <c r="D235" i="5"/>
  <c r="E235" i="5"/>
  <c r="F235" i="5"/>
  <c r="G235" i="5"/>
  <c r="H235" i="5"/>
  <c r="I235" i="5"/>
  <c r="J238" i="5"/>
  <c r="J239" i="5"/>
  <c r="D240" i="5"/>
  <c r="E240" i="5"/>
  <c r="F240" i="5"/>
  <c r="G240" i="5"/>
  <c r="H240" i="5"/>
  <c r="J243" i="5"/>
  <c r="J244" i="5"/>
  <c r="D246" i="5"/>
  <c r="E246" i="5"/>
  <c r="F246" i="5"/>
  <c r="G246" i="5"/>
  <c r="H246" i="5"/>
  <c r="J249" i="5"/>
  <c r="J250" i="5"/>
  <c r="D252" i="5"/>
  <c r="E252" i="5"/>
  <c r="F252" i="5"/>
  <c r="G252" i="5"/>
  <c r="H252" i="5"/>
  <c r="J255" i="5"/>
  <c r="J256" i="5"/>
  <c r="D258" i="5"/>
  <c r="E258" i="5"/>
  <c r="F258" i="5"/>
  <c r="G258" i="5"/>
  <c r="H258" i="5"/>
  <c r="J261" i="5"/>
  <c r="J262" i="5"/>
  <c r="D263" i="5"/>
  <c r="E263" i="5"/>
  <c r="F263" i="5"/>
  <c r="G263" i="5"/>
  <c r="H263" i="5"/>
  <c r="J266" i="5"/>
  <c r="J267" i="5"/>
  <c r="D269" i="5"/>
  <c r="E269" i="5"/>
  <c r="F269" i="5"/>
  <c r="G269" i="5"/>
  <c r="H269" i="5"/>
  <c r="J272" i="5"/>
  <c r="J273" i="5"/>
  <c r="J274" i="5"/>
  <c r="D276" i="5"/>
  <c r="E276" i="5"/>
  <c r="F276" i="5"/>
  <c r="G276" i="5"/>
  <c r="H276" i="5"/>
  <c r="I276" i="5"/>
  <c r="J279" i="5"/>
  <c r="J280" i="5"/>
  <c r="D282" i="5"/>
  <c r="E282" i="5"/>
  <c r="F282" i="5"/>
  <c r="G282" i="5"/>
  <c r="H282" i="5"/>
  <c r="J285" i="5"/>
  <c r="J286" i="5"/>
  <c r="D288" i="5"/>
  <c r="E288" i="5"/>
  <c r="F288" i="5"/>
  <c r="G288" i="5"/>
  <c r="H288" i="5"/>
  <c r="J291" i="5"/>
  <c r="J292" i="5"/>
  <c r="D294" i="5"/>
  <c r="E294" i="5"/>
  <c r="F294" i="5"/>
  <c r="G294" i="5"/>
  <c r="H294" i="5"/>
  <c r="J297" i="5"/>
  <c r="J298" i="5"/>
  <c r="D299" i="5"/>
  <c r="E299" i="5"/>
  <c r="F299" i="5"/>
  <c r="G299" i="5"/>
  <c r="H299" i="5"/>
  <c r="J9" i="6"/>
  <c r="J10" i="6"/>
  <c r="D12" i="6"/>
  <c r="E12" i="6"/>
  <c r="F12" i="6"/>
  <c r="G12" i="6"/>
  <c r="H12" i="6"/>
  <c r="I12" i="6"/>
  <c r="J14" i="6"/>
  <c r="J15" i="6"/>
  <c r="D17" i="6"/>
  <c r="E17" i="6"/>
  <c r="J17" i="6" s="1"/>
  <c r="F17" i="6"/>
  <c r="G17" i="6"/>
  <c r="H17" i="6"/>
  <c r="I17" i="6"/>
  <c r="J19" i="6"/>
  <c r="J20" i="6"/>
  <c r="D22" i="6"/>
  <c r="E22" i="6"/>
  <c r="F22" i="6"/>
  <c r="G22" i="6"/>
  <c r="H22" i="6"/>
  <c r="I22" i="6"/>
  <c r="J26" i="6"/>
  <c r="J27" i="6"/>
  <c r="D28" i="6"/>
  <c r="E28" i="6"/>
  <c r="F28" i="6"/>
  <c r="G28" i="6"/>
  <c r="H28" i="6"/>
  <c r="I28" i="6"/>
  <c r="J32" i="6"/>
  <c r="D34" i="6"/>
  <c r="E34" i="6"/>
  <c r="F34" i="6"/>
  <c r="G34" i="6"/>
  <c r="H34" i="6"/>
  <c r="I34" i="6"/>
  <c r="J38" i="6"/>
  <c r="J39" i="6"/>
  <c r="D41" i="6"/>
  <c r="E41" i="6"/>
  <c r="F41" i="6"/>
  <c r="G41" i="6"/>
  <c r="H41" i="6"/>
  <c r="I41" i="6"/>
  <c r="J44" i="6"/>
  <c r="J45" i="6"/>
  <c r="D46" i="6"/>
  <c r="E46" i="6"/>
  <c r="F46" i="6"/>
  <c r="G46" i="6"/>
  <c r="H46" i="6"/>
  <c r="I46" i="6"/>
  <c r="J51" i="6"/>
  <c r="J52" i="6"/>
  <c r="D54" i="6"/>
  <c r="E54" i="6"/>
  <c r="F54" i="6"/>
  <c r="G54" i="6"/>
  <c r="H54" i="6"/>
  <c r="I54" i="6"/>
  <c r="J57" i="6"/>
  <c r="J58" i="6"/>
  <c r="D62" i="6"/>
  <c r="E62" i="6"/>
  <c r="F62" i="6"/>
  <c r="G62" i="6"/>
  <c r="H62" i="6"/>
  <c r="I62" i="6"/>
  <c r="J62" i="6"/>
  <c r="J64" i="6"/>
  <c r="D67" i="6"/>
  <c r="E67" i="6"/>
  <c r="F67" i="6"/>
  <c r="G67" i="6"/>
  <c r="H67" i="6"/>
  <c r="I67" i="6"/>
  <c r="J67" i="6"/>
  <c r="J70" i="6"/>
  <c r="J71" i="6"/>
  <c r="D73" i="6"/>
  <c r="E73" i="6"/>
  <c r="F73" i="6"/>
  <c r="G73" i="6"/>
  <c r="H73" i="6"/>
  <c r="I73" i="6"/>
  <c r="J76" i="6"/>
  <c r="J77" i="6"/>
  <c r="J78" i="6"/>
  <c r="J79" i="6"/>
  <c r="D81" i="6"/>
  <c r="E81" i="6"/>
  <c r="F81" i="6"/>
  <c r="G81" i="6"/>
  <c r="H81" i="6"/>
  <c r="I81" i="6"/>
  <c r="J84" i="6"/>
  <c r="J85" i="6"/>
  <c r="D87" i="6"/>
  <c r="E87" i="6"/>
  <c r="F87" i="6"/>
  <c r="G87" i="6"/>
  <c r="H87" i="6"/>
  <c r="I87" i="6"/>
  <c r="J90" i="6"/>
  <c r="J91" i="6"/>
  <c r="J92" i="6"/>
  <c r="D94" i="6"/>
  <c r="E94" i="6"/>
  <c r="F94" i="6"/>
  <c r="G94" i="6"/>
  <c r="H94" i="6"/>
  <c r="I94" i="6"/>
  <c r="J97" i="6"/>
  <c r="J98" i="6"/>
  <c r="D99" i="6"/>
  <c r="E99" i="6"/>
  <c r="F99" i="6"/>
  <c r="G99" i="6"/>
  <c r="H99" i="6"/>
  <c r="I99" i="6"/>
  <c r="J102" i="6"/>
  <c r="J103" i="6"/>
  <c r="D105" i="6"/>
  <c r="E105" i="6"/>
  <c r="F105" i="6"/>
  <c r="G105" i="6"/>
  <c r="H105" i="6"/>
  <c r="I105" i="6"/>
  <c r="J108" i="6"/>
  <c r="J109" i="6"/>
  <c r="D110" i="6"/>
  <c r="E110" i="6"/>
  <c r="F110" i="6"/>
  <c r="J110" i="6" s="1"/>
  <c r="G110" i="6"/>
  <c r="H110" i="6"/>
  <c r="I110" i="6"/>
  <c r="J113" i="6"/>
  <c r="J114" i="6"/>
  <c r="D117" i="6"/>
  <c r="E117" i="6"/>
  <c r="F117" i="6"/>
  <c r="G117" i="6"/>
  <c r="H117" i="6"/>
  <c r="I117" i="6"/>
  <c r="J119" i="6"/>
  <c r="J120" i="6"/>
  <c r="J121" i="6"/>
  <c r="J124" i="6"/>
  <c r="J125" i="6"/>
  <c r="D126" i="6"/>
  <c r="E126" i="6"/>
  <c r="F126" i="6"/>
  <c r="G126" i="6"/>
  <c r="H126" i="6"/>
  <c r="I126" i="6"/>
  <c r="J129" i="6"/>
  <c r="J130" i="6"/>
  <c r="D132" i="6"/>
  <c r="E132" i="6"/>
  <c r="F132" i="6"/>
  <c r="G132" i="6"/>
  <c r="J132" i="6" s="1"/>
  <c r="H132" i="6"/>
  <c r="I132" i="6"/>
  <c r="J135" i="6"/>
  <c r="J136" i="6"/>
  <c r="D138" i="6"/>
  <c r="E138" i="6"/>
  <c r="F138" i="6"/>
  <c r="G138" i="6"/>
  <c r="H138" i="6"/>
  <c r="I138" i="6"/>
  <c r="J141" i="6"/>
  <c r="J142" i="6"/>
  <c r="J143" i="6"/>
  <c r="D145" i="6"/>
  <c r="E145" i="6"/>
  <c r="F145" i="6"/>
  <c r="G145" i="6"/>
  <c r="H145" i="6"/>
  <c r="I145" i="6"/>
  <c r="J148" i="6"/>
  <c r="J149" i="6"/>
  <c r="D150" i="6"/>
  <c r="E150" i="6"/>
  <c r="F150" i="6"/>
  <c r="G150" i="6"/>
  <c r="H150" i="6"/>
  <c r="I150" i="6"/>
  <c r="J153" i="6"/>
  <c r="J154" i="6"/>
  <c r="D155" i="6"/>
  <c r="E155" i="6"/>
  <c r="F155" i="6"/>
  <c r="G155" i="6"/>
  <c r="H155" i="6"/>
  <c r="I155" i="6"/>
  <c r="J158" i="6"/>
  <c r="J159" i="6"/>
  <c r="D160" i="6"/>
  <c r="E160" i="6"/>
  <c r="F160" i="6"/>
  <c r="G160" i="6"/>
  <c r="H160" i="6"/>
  <c r="I160" i="6"/>
  <c r="J163" i="6"/>
  <c r="D166" i="6"/>
  <c r="E166" i="6"/>
  <c r="F166" i="6"/>
  <c r="G166" i="6"/>
  <c r="H166" i="6"/>
  <c r="I166" i="6"/>
  <c r="J169" i="6"/>
  <c r="D171" i="6"/>
  <c r="E171" i="6"/>
  <c r="F171" i="6"/>
  <c r="G171" i="6"/>
  <c r="H171" i="6"/>
  <c r="I171" i="6"/>
  <c r="J174" i="6"/>
  <c r="J175" i="6"/>
  <c r="D176" i="6"/>
  <c r="E176" i="6"/>
  <c r="F176" i="6"/>
  <c r="G176" i="6"/>
  <c r="H176" i="6"/>
  <c r="I176" i="6"/>
  <c r="J179" i="6"/>
  <c r="J180" i="6"/>
  <c r="D182" i="6"/>
  <c r="E182" i="6"/>
  <c r="F182" i="6"/>
  <c r="G182" i="6"/>
  <c r="H182" i="6"/>
  <c r="I182" i="6"/>
  <c r="J185" i="6"/>
  <c r="J186" i="6"/>
  <c r="J187" i="6"/>
  <c r="D189" i="6"/>
  <c r="E189" i="6"/>
  <c r="F189" i="6"/>
  <c r="G189" i="6"/>
  <c r="H189" i="6"/>
  <c r="I189" i="6"/>
  <c r="J192" i="6"/>
  <c r="J193" i="6"/>
  <c r="D195" i="6"/>
  <c r="E195" i="6"/>
  <c r="F195" i="6"/>
  <c r="G195" i="6"/>
  <c r="H195" i="6"/>
  <c r="I195" i="6"/>
  <c r="J198" i="6"/>
  <c r="J199" i="6"/>
  <c r="D201" i="6"/>
  <c r="E201" i="6"/>
  <c r="F201" i="6"/>
  <c r="G201" i="6"/>
  <c r="H201" i="6"/>
  <c r="I201" i="6"/>
  <c r="J204" i="6"/>
  <c r="J205" i="6"/>
  <c r="D206" i="6"/>
  <c r="E206" i="6"/>
  <c r="F206" i="6"/>
  <c r="G206" i="6"/>
  <c r="H206" i="6"/>
  <c r="I206" i="6"/>
  <c r="J209" i="6"/>
  <c r="J210" i="6"/>
  <c r="D212" i="6"/>
  <c r="E212" i="6"/>
  <c r="F212" i="6"/>
  <c r="G212" i="6"/>
  <c r="H212" i="6"/>
  <c r="I212" i="6"/>
  <c r="J215" i="6"/>
  <c r="J216" i="6"/>
  <c r="D218" i="6"/>
  <c r="E218" i="6"/>
  <c r="F218" i="6"/>
  <c r="G218" i="6"/>
  <c r="H218" i="6"/>
  <c r="I218" i="6"/>
  <c r="J221" i="6"/>
  <c r="J222" i="6"/>
  <c r="D224" i="6"/>
  <c r="E224" i="6"/>
  <c r="F224" i="6"/>
  <c r="G224" i="6"/>
  <c r="H224" i="6"/>
  <c r="I224" i="6"/>
  <c r="J227" i="6"/>
  <c r="J228" i="6"/>
  <c r="D230" i="6"/>
  <c r="E230" i="6"/>
  <c r="F230" i="6"/>
  <c r="G230" i="6"/>
  <c r="H230" i="6"/>
  <c r="I230" i="6"/>
  <c r="J233" i="6"/>
  <c r="J234" i="6"/>
  <c r="D236" i="6"/>
  <c r="E236" i="6"/>
  <c r="F236" i="6"/>
  <c r="G236" i="6"/>
  <c r="H236" i="6"/>
  <c r="I236" i="6"/>
  <c r="J239" i="6"/>
  <c r="J240" i="6"/>
  <c r="D241" i="6"/>
  <c r="E241" i="6"/>
  <c r="F241" i="6"/>
  <c r="G241" i="6"/>
  <c r="H241" i="6"/>
  <c r="I241" i="6"/>
  <c r="J244" i="6"/>
  <c r="J245" i="6"/>
  <c r="D247" i="6"/>
  <c r="E247" i="6"/>
  <c r="F247" i="6"/>
  <c r="G247" i="6"/>
  <c r="H247" i="6"/>
  <c r="I247" i="6"/>
  <c r="J250" i="6"/>
  <c r="J251" i="6"/>
  <c r="D253" i="6"/>
  <c r="E253" i="6"/>
  <c r="F253" i="6"/>
  <c r="G253" i="6"/>
  <c r="H253" i="6"/>
  <c r="I253" i="6"/>
  <c r="J256" i="6"/>
  <c r="J257" i="6"/>
  <c r="D259" i="6"/>
  <c r="E259" i="6"/>
  <c r="F259" i="6"/>
  <c r="G259" i="6"/>
  <c r="H259" i="6"/>
  <c r="I259" i="6"/>
  <c r="J262" i="6"/>
  <c r="J263" i="6"/>
  <c r="D264" i="6"/>
  <c r="E264" i="6"/>
  <c r="F264" i="6"/>
  <c r="G264" i="6"/>
  <c r="H264" i="6"/>
  <c r="I264" i="6"/>
  <c r="J267" i="6"/>
  <c r="J268" i="6"/>
  <c r="D270" i="6"/>
  <c r="E270" i="6"/>
  <c r="F270" i="6"/>
  <c r="G270" i="6"/>
  <c r="H270" i="6"/>
  <c r="I270" i="6"/>
  <c r="J273" i="6"/>
  <c r="J274" i="6"/>
  <c r="J275" i="6"/>
  <c r="D277" i="6"/>
  <c r="E277" i="6"/>
  <c r="F277" i="6"/>
  <c r="G277" i="6"/>
  <c r="H277" i="6"/>
  <c r="I277" i="6"/>
  <c r="J280" i="6"/>
  <c r="J281" i="6"/>
  <c r="D283" i="6"/>
  <c r="E283" i="6"/>
  <c r="F283" i="6"/>
  <c r="G283" i="6"/>
  <c r="H283" i="6"/>
  <c r="I283" i="6"/>
  <c r="J286" i="6"/>
  <c r="J287" i="6"/>
  <c r="D289" i="6"/>
  <c r="E289" i="6"/>
  <c r="F289" i="6"/>
  <c r="G289" i="6"/>
  <c r="H289" i="6"/>
  <c r="I289" i="6"/>
  <c r="J292" i="6"/>
  <c r="J293" i="6"/>
  <c r="D295" i="6"/>
  <c r="E295" i="6"/>
  <c r="F295" i="6"/>
  <c r="G295" i="6"/>
  <c r="H295" i="6"/>
  <c r="I295" i="6"/>
  <c r="J298" i="6"/>
  <c r="J299" i="6"/>
  <c r="J300" i="6"/>
  <c r="D301" i="6"/>
  <c r="E301" i="6"/>
  <c r="F301" i="6"/>
  <c r="G301" i="6"/>
  <c r="H301" i="6"/>
  <c r="I301" i="6"/>
  <c r="D9" i="7"/>
  <c r="J9" i="7" s="1"/>
  <c r="D10" i="7"/>
  <c r="J10" i="7" s="1"/>
  <c r="E12" i="7"/>
  <c r="F12" i="7"/>
  <c r="G12" i="7"/>
  <c r="H12" i="7"/>
  <c r="I12" i="7"/>
  <c r="D14" i="7"/>
  <c r="J14" i="7" s="1"/>
  <c r="D15" i="7"/>
  <c r="J15" i="7" s="1"/>
  <c r="E17" i="7"/>
  <c r="F17" i="7"/>
  <c r="G17" i="7"/>
  <c r="H17" i="7"/>
  <c r="I17" i="7"/>
  <c r="J19" i="7"/>
  <c r="J20" i="7"/>
  <c r="D22" i="7"/>
  <c r="E22" i="7"/>
  <c r="F22" i="7"/>
  <c r="G22" i="7"/>
  <c r="H22" i="7"/>
  <c r="I22" i="7"/>
  <c r="D26" i="7"/>
  <c r="J26" i="7" s="1"/>
  <c r="E28" i="7"/>
  <c r="F28" i="7"/>
  <c r="G28" i="7"/>
  <c r="H28" i="7"/>
  <c r="I28" i="7"/>
  <c r="J32" i="7"/>
  <c r="D34" i="7"/>
  <c r="E34" i="7"/>
  <c r="F34" i="7"/>
  <c r="G34" i="7"/>
  <c r="H34" i="7"/>
  <c r="I34" i="7"/>
  <c r="D38" i="7"/>
  <c r="D39" i="7"/>
  <c r="J39" i="7" s="1"/>
  <c r="E41" i="7"/>
  <c r="F41" i="7"/>
  <c r="G41" i="7"/>
  <c r="H41" i="7"/>
  <c r="I41" i="7"/>
  <c r="D44" i="7"/>
  <c r="E46" i="7"/>
  <c r="F46" i="7"/>
  <c r="G46" i="7"/>
  <c r="H46" i="7"/>
  <c r="I46" i="7"/>
  <c r="D51" i="7"/>
  <c r="J51" i="7" s="1"/>
  <c r="D52" i="7"/>
  <c r="J52" i="7" s="1"/>
  <c r="E54" i="7"/>
  <c r="F54" i="7"/>
  <c r="G54" i="7"/>
  <c r="H54" i="7"/>
  <c r="I54" i="7"/>
  <c r="D57" i="7"/>
  <c r="J57" i="7" s="1"/>
  <c r="D58" i="7"/>
  <c r="J58" i="7" s="1"/>
  <c r="D59" i="7"/>
  <c r="J59" i="7" s="1"/>
  <c r="D60" i="7"/>
  <c r="J60" i="7" s="1"/>
  <c r="E62" i="7"/>
  <c r="F62" i="7"/>
  <c r="G62" i="7"/>
  <c r="H62" i="7"/>
  <c r="I62" i="7"/>
  <c r="D64" i="7"/>
  <c r="J64" i="7" s="1"/>
  <c r="E67" i="7"/>
  <c r="F67" i="7"/>
  <c r="G67" i="7"/>
  <c r="H67" i="7"/>
  <c r="I67" i="7"/>
  <c r="D70" i="7"/>
  <c r="D71" i="7"/>
  <c r="J71" i="7" s="1"/>
  <c r="E73" i="7"/>
  <c r="F73" i="7"/>
  <c r="G73" i="7"/>
  <c r="H73" i="7"/>
  <c r="I73" i="7"/>
  <c r="D76" i="7"/>
  <c r="J76" i="7" s="1"/>
  <c r="D77" i="7"/>
  <c r="J77" i="7" s="1"/>
  <c r="D78" i="7"/>
  <c r="J78" i="7" s="1"/>
  <c r="D79" i="7"/>
  <c r="J79" i="7" s="1"/>
  <c r="E81" i="7"/>
  <c r="F81" i="7"/>
  <c r="G81" i="7"/>
  <c r="H81" i="7"/>
  <c r="I81" i="7"/>
  <c r="J84" i="7"/>
  <c r="J85" i="7"/>
  <c r="D87" i="7"/>
  <c r="E87" i="7"/>
  <c r="F87" i="7"/>
  <c r="G87" i="7"/>
  <c r="H87" i="7"/>
  <c r="I87" i="7"/>
  <c r="D90" i="7"/>
  <c r="D91" i="7"/>
  <c r="J91" i="7" s="1"/>
  <c r="D92" i="7"/>
  <c r="J92" i="7" s="1"/>
  <c r="E94" i="7"/>
  <c r="F94" i="7"/>
  <c r="G94" i="7"/>
  <c r="H94" i="7"/>
  <c r="I94" i="7"/>
  <c r="D97" i="7"/>
  <c r="J97" i="7" s="1"/>
  <c r="E99" i="7"/>
  <c r="F99" i="7"/>
  <c r="G99" i="7"/>
  <c r="H99" i="7"/>
  <c r="I99" i="7"/>
  <c r="D102" i="7"/>
  <c r="D103" i="7"/>
  <c r="J103" i="7" s="1"/>
  <c r="E105" i="7"/>
  <c r="F105" i="7"/>
  <c r="G105" i="7"/>
  <c r="H105" i="7"/>
  <c r="I105" i="7"/>
  <c r="D108" i="7"/>
  <c r="J108" i="7" s="1"/>
  <c r="D110" i="7"/>
  <c r="E110" i="7"/>
  <c r="F110" i="7"/>
  <c r="G110" i="7"/>
  <c r="H110" i="7"/>
  <c r="I110" i="7"/>
  <c r="D113" i="7"/>
  <c r="D114" i="7"/>
  <c r="J114" i="7" s="1"/>
  <c r="D115" i="7"/>
  <c r="J115" i="7" s="1"/>
  <c r="E117" i="7"/>
  <c r="F117" i="7"/>
  <c r="G117" i="7"/>
  <c r="H117" i="7"/>
  <c r="I117" i="7"/>
  <c r="J124" i="7"/>
  <c r="D126" i="7"/>
  <c r="E126" i="7"/>
  <c r="F126" i="7"/>
  <c r="G126" i="7"/>
  <c r="H126" i="7"/>
  <c r="I126" i="7"/>
  <c r="D129" i="7"/>
  <c r="J129" i="7" s="1"/>
  <c r="D130" i="7"/>
  <c r="J130" i="7" s="1"/>
  <c r="E132" i="7"/>
  <c r="F132" i="7"/>
  <c r="G132" i="7"/>
  <c r="H132" i="7"/>
  <c r="I132" i="7"/>
  <c r="D135" i="7"/>
  <c r="J135" i="7" s="1"/>
  <c r="D136" i="7"/>
  <c r="J136" i="7" s="1"/>
  <c r="E138" i="7"/>
  <c r="F138" i="7"/>
  <c r="G138" i="7"/>
  <c r="H138" i="7"/>
  <c r="I138" i="7"/>
  <c r="D141" i="7"/>
  <c r="J141" i="7" s="1"/>
  <c r="D142" i="7"/>
  <c r="J142" i="7" s="1"/>
  <c r="D143" i="7"/>
  <c r="J143" i="7" s="1"/>
  <c r="D144" i="7"/>
  <c r="J144" i="7" s="1"/>
  <c r="E146" i="7"/>
  <c r="F146" i="7"/>
  <c r="G146" i="7"/>
  <c r="H146" i="7"/>
  <c r="I146" i="7"/>
  <c r="D149" i="7"/>
  <c r="E151" i="7"/>
  <c r="F151" i="7"/>
  <c r="G151" i="7"/>
  <c r="H151" i="7"/>
  <c r="I151" i="7"/>
  <c r="D154" i="7"/>
  <c r="J154" i="7" s="1"/>
  <c r="E156" i="7"/>
  <c r="F156" i="7"/>
  <c r="G156" i="7"/>
  <c r="H156" i="7"/>
  <c r="I156" i="7"/>
  <c r="D159" i="7"/>
  <c r="E161" i="7"/>
  <c r="F161" i="7"/>
  <c r="G161" i="7"/>
  <c r="H161" i="7"/>
  <c r="I161" i="7"/>
  <c r="D164" i="7"/>
  <c r="D167" i="7" s="1"/>
  <c r="J164" i="7"/>
  <c r="E167" i="7"/>
  <c r="F167" i="7"/>
  <c r="G167" i="7"/>
  <c r="H167" i="7"/>
  <c r="I167" i="7"/>
  <c r="J170" i="7"/>
  <c r="D172" i="7"/>
  <c r="E172" i="7"/>
  <c r="F172" i="7"/>
  <c r="G172" i="7"/>
  <c r="H172" i="7"/>
  <c r="I172" i="7"/>
  <c r="J175" i="7"/>
  <c r="D177" i="7"/>
  <c r="E177" i="7"/>
  <c r="F177" i="7"/>
  <c r="G177" i="7"/>
  <c r="H177" i="7"/>
  <c r="I177" i="7"/>
  <c r="D180" i="7"/>
  <c r="J180" i="7" s="1"/>
  <c r="D181" i="7"/>
  <c r="J181" i="7" s="1"/>
  <c r="E183" i="7"/>
  <c r="F183" i="7"/>
  <c r="G183" i="7"/>
  <c r="H183" i="7"/>
  <c r="I183" i="7"/>
  <c r="D186" i="7"/>
  <c r="J186" i="7" s="1"/>
  <c r="J187" i="7"/>
  <c r="D188" i="7"/>
  <c r="J188" i="7" s="1"/>
  <c r="E190" i="7"/>
  <c r="F190" i="7"/>
  <c r="G190" i="7"/>
  <c r="H190" i="7"/>
  <c r="I190" i="7"/>
  <c r="D193" i="7"/>
  <c r="J194" i="7"/>
  <c r="E196" i="7"/>
  <c r="F196" i="7"/>
  <c r="G196" i="7"/>
  <c r="H196" i="7"/>
  <c r="I196" i="7"/>
  <c r="D199" i="7"/>
  <c r="D200" i="7"/>
  <c r="J200" i="7"/>
  <c r="E202" i="7"/>
  <c r="F202" i="7"/>
  <c r="G202" i="7"/>
  <c r="H202" i="7"/>
  <c r="I202" i="7"/>
  <c r="D205" i="7"/>
  <c r="J205" i="7" s="1"/>
  <c r="E207" i="7"/>
  <c r="F207" i="7"/>
  <c r="G207" i="7"/>
  <c r="H207" i="7"/>
  <c r="I207" i="7"/>
  <c r="D210" i="7"/>
  <c r="J210" i="7" s="1"/>
  <c r="D211" i="7"/>
  <c r="J211" i="7" s="1"/>
  <c r="E213" i="7"/>
  <c r="F213" i="7"/>
  <c r="G213" i="7"/>
  <c r="H213" i="7"/>
  <c r="I213" i="7"/>
  <c r="D216" i="7"/>
  <c r="J216" i="7" s="1"/>
  <c r="D217" i="7"/>
  <c r="J217" i="7" s="1"/>
  <c r="E219" i="7"/>
  <c r="F219" i="7"/>
  <c r="G219" i="7"/>
  <c r="H219" i="7"/>
  <c r="I219" i="7"/>
  <c r="D222" i="7"/>
  <c r="J222" i="7" s="1"/>
  <c r="D223" i="7"/>
  <c r="J223" i="7" s="1"/>
  <c r="E225" i="7"/>
  <c r="F225" i="7"/>
  <c r="G225" i="7"/>
  <c r="H225" i="7"/>
  <c r="I225" i="7"/>
  <c r="J228" i="7"/>
  <c r="J229" i="7"/>
  <c r="D231" i="7"/>
  <c r="E231" i="7"/>
  <c r="F231" i="7"/>
  <c r="G231" i="7"/>
  <c r="H231" i="7"/>
  <c r="I231" i="7"/>
  <c r="D234" i="7"/>
  <c r="J234" i="7" s="1"/>
  <c r="D235" i="7"/>
  <c r="E237" i="7"/>
  <c r="F237" i="7"/>
  <c r="G237" i="7"/>
  <c r="H237" i="7"/>
  <c r="I237" i="7"/>
  <c r="D240" i="7"/>
  <c r="J240" i="7" s="1"/>
  <c r="E242" i="7"/>
  <c r="F242" i="7"/>
  <c r="G242" i="7"/>
  <c r="H242" i="7"/>
  <c r="I242" i="7"/>
  <c r="J245" i="7"/>
  <c r="J246" i="7"/>
  <c r="D248" i="7"/>
  <c r="E248" i="7"/>
  <c r="F248" i="7"/>
  <c r="G248" i="7"/>
  <c r="H248" i="7"/>
  <c r="I248" i="7"/>
  <c r="D251" i="7"/>
  <c r="J251" i="7" s="1"/>
  <c r="D252" i="7"/>
  <c r="J252" i="7" s="1"/>
  <c r="E254" i="7"/>
  <c r="F254" i="7"/>
  <c r="G254" i="7"/>
  <c r="H254" i="7"/>
  <c r="I254" i="7"/>
  <c r="D257" i="7"/>
  <c r="J257" i="7" s="1"/>
  <c r="D258" i="7"/>
  <c r="J258" i="7" s="1"/>
  <c r="E260" i="7"/>
  <c r="F260" i="7"/>
  <c r="G260" i="7"/>
  <c r="H260" i="7"/>
  <c r="I260" i="7"/>
  <c r="D263" i="7"/>
  <c r="J263" i="7" s="1"/>
  <c r="E265" i="7"/>
  <c r="F265" i="7"/>
  <c r="G265" i="7"/>
  <c r="H265" i="7"/>
  <c r="I265" i="7"/>
  <c r="D268" i="7"/>
  <c r="J268" i="7" s="1"/>
  <c r="E271" i="7"/>
  <c r="F271" i="7"/>
  <c r="G271" i="7"/>
  <c r="H271" i="7"/>
  <c r="I271" i="7"/>
  <c r="J274" i="7"/>
  <c r="J275" i="7"/>
  <c r="J276" i="7"/>
  <c r="D278" i="7"/>
  <c r="E278" i="7"/>
  <c r="F278" i="7"/>
  <c r="G278" i="7"/>
  <c r="H278" i="7"/>
  <c r="I278" i="7"/>
  <c r="D281" i="7"/>
  <c r="J281" i="7" s="1"/>
  <c r="D282" i="7"/>
  <c r="J282" i="7" s="1"/>
  <c r="E284" i="7"/>
  <c r="F284" i="7"/>
  <c r="G284" i="7"/>
  <c r="H284" i="7"/>
  <c r="I284" i="7"/>
  <c r="D287" i="7"/>
  <c r="J287" i="7" s="1"/>
  <c r="J288" i="7"/>
  <c r="E290" i="7"/>
  <c r="F290" i="7"/>
  <c r="G290" i="7"/>
  <c r="H290" i="7"/>
  <c r="I290" i="7"/>
  <c r="D293" i="7"/>
  <c r="E296" i="7"/>
  <c r="F296" i="7"/>
  <c r="G296" i="7"/>
  <c r="H296" i="7"/>
  <c r="I296" i="7"/>
  <c r="D299" i="7"/>
  <c r="J300" i="7"/>
  <c r="E302" i="7"/>
  <c r="F302" i="7"/>
  <c r="G302" i="7"/>
  <c r="H302" i="7"/>
  <c r="I302" i="7"/>
  <c r="K9" i="8"/>
  <c r="K10" i="8"/>
  <c r="D12" i="8"/>
  <c r="E12" i="8"/>
  <c r="F12" i="8"/>
  <c r="G12" i="8"/>
  <c r="H12" i="8"/>
  <c r="I12" i="8"/>
  <c r="J12" i="8"/>
  <c r="K14" i="8"/>
  <c r="K15" i="8"/>
  <c r="D17" i="8"/>
  <c r="E17" i="8"/>
  <c r="F17" i="8"/>
  <c r="G17" i="8"/>
  <c r="H17" i="8"/>
  <c r="I17" i="8"/>
  <c r="J17" i="8"/>
  <c r="K19" i="8"/>
  <c r="K20" i="8"/>
  <c r="D22" i="8"/>
  <c r="E22" i="8"/>
  <c r="F22" i="8"/>
  <c r="G22" i="8"/>
  <c r="H22" i="8"/>
  <c r="I22" i="8"/>
  <c r="J22" i="8"/>
  <c r="K26" i="8"/>
  <c r="D28" i="8"/>
  <c r="E28" i="8"/>
  <c r="F28" i="8"/>
  <c r="G28" i="8"/>
  <c r="H28" i="8"/>
  <c r="I28" i="8"/>
  <c r="J28" i="8"/>
  <c r="K32" i="8"/>
  <c r="D34" i="8"/>
  <c r="E34" i="8"/>
  <c r="F34" i="8"/>
  <c r="G34" i="8"/>
  <c r="H34" i="8"/>
  <c r="I34" i="8"/>
  <c r="J34" i="8"/>
  <c r="K38" i="8"/>
  <c r="K39" i="8"/>
  <c r="D41" i="8"/>
  <c r="E41" i="8"/>
  <c r="F41" i="8"/>
  <c r="G41" i="8"/>
  <c r="H41" i="8"/>
  <c r="I41" i="8"/>
  <c r="J41" i="8"/>
  <c r="K44" i="8"/>
  <c r="D46" i="8"/>
  <c r="E46" i="8"/>
  <c r="F46" i="8"/>
  <c r="G46" i="8"/>
  <c r="H46" i="8"/>
  <c r="I46" i="8"/>
  <c r="J46" i="8"/>
  <c r="K51" i="8"/>
  <c r="K52" i="8"/>
  <c r="D54" i="8"/>
  <c r="E54" i="8"/>
  <c r="F54" i="8"/>
  <c r="G54" i="8"/>
  <c r="H54" i="8"/>
  <c r="I54" i="8"/>
  <c r="J54" i="8"/>
  <c r="K57" i="8"/>
  <c r="K58" i="8"/>
  <c r="K59" i="8"/>
  <c r="K60" i="8"/>
  <c r="D62" i="8"/>
  <c r="E62" i="8"/>
  <c r="F62" i="8"/>
  <c r="G62" i="8"/>
  <c r="H62" i="8"/>
  <c r="I62" i="8"/>
  <c r="J62" i="8"/>
  <c r="K64" i="8"/>
  <c r="D67" i="8"/>
  <c r="E67" i="8"/>
  <c r="F67" i="8"/>
  <c r="G67" i="8"/>
  <c r="H67" i="8"/>
  <c r="I67" i="8"/>
  <c r="J67" i="8"/>
  <c r="K70" i="8"/>
  <c r="K71" i="8"/>
  <c r="D73" i="8"/>
  <c r="E73" i="8"/>
  <c r="F73" i="8"/>
  <c r="G73" i="8"/>
  <c r="H73" i="8"/>
  <c r="I73" i="8"/>
  <c r="J73" i="8"/>
  <c r="K76" i="8"/>
  <c r="K77" i="8"/>
  <c r="K78" i="8"/>
  <c r="K79" i="8"/>
  <c r="D81" i="8"/>
  <c r="E81" i="8"/>
  <c r="F81" i="8"/>
  <c r="G81" i="8"/>
  <c r="H81" i="8"/>
  <c r="I81" i="8"/>
  <c r="J81" i="8"/>
  <c r="K84" i="8"/>
  <c r="K85" i="8"/>
  <c r="D87" i="8"/>
  <c r="E87" i="8"/>
  <c r="F87" i="8"/>
  <c r="G87" i="8"/>
  <c r="H87" i="8"/>
  <c r="I87" i="8"/>
  <c r="J87" i="8"/>
  <c r="K90" i="8"/>
  <c r="K91" i="8"/>
  <c r="K92" i="8"/>
  <c r="D94" i="8"/>
  <c r="E94" i="8"/>
  <c r="F94" i="8"/>
  <c r="G94" i="8"/>
  <c r="H94" i="8"/>
  <c r="I94" i="8"/>
  <c r="J94" i="8"/>
  <c r="K97" i="8"/>
  <c r="D99" i="8"/>
  <c r="E99" i="8"/>
  <c r="F99" i="8"/>
  <c r="G99" i="8"/>
  <c r="H99" i="8"/>
  <c r="I99" i="8"/>
  <c r="J99" i="8"/>
  <c r="K102" i="8"/>
  <c r="K103" i="8"/>
  <c r="D105" i="8"/>
  <c r="K105" i="8" s="1"/>
  <c r="E105" i="8"/>
  <c r="F105" i="8"/>
  <c r="G105" i="8"/>
  <c r="H105" i="8"/>
  <c r="I105" i="8"/>
  <c r="J105" i="8"/>
  <c r="K108" i="8"/>
  <c r="D110" i="8"/>
  <c r="E110" i="8"/>
  <c r="F110" i="8"/>
  <c r="G110" i="8"/>
  <c r="H110" i="8"/>
  <c r="I110" i="8"/>
  <c r="J110" i="8"/>
  <c r="K113" i="8"/>
  <c r="K114" i="8"/>
  <c r="K115" i="8"/>
  <c r="K116" i="8"/>
  <c r="D118" i="8"/>
  <c r="E118" i="8"/>
  <c r="F118" i="8"/>
  <c r="G118" i="8"/>
  <c r="H118" i="8"/>
  <c r="I118" i="8"/>
  <c r="J118" i="8"/>
  <c r="K125" i="8"/>
  <c r="D127" i="8"/>
  <c r="E127" i="8"/>
  <c r="F127" i="8"/>
  <c r="G127" i="8"/>
  <c r="H127" i="8"/>
  <c r="I127" i="8"/>
  <c r="J127" i="8"/>
  <c r="K130" i="8"/>
  <c r="K131" i="8"/>
  <c r="D133" i="8"/>
  <c r="E133" i="8"/>
  <c r="F133" i="8"/>
  <c r="G133" i="8"/>
  <c r="H133" i="8"/>
  <c r="I133" i="8"/>
  <c r="J133" i="8"/>
  <c r="K136" i="8"/>
  <c r="K137" i="8"/>
  <c r="D139" i="8"/>
  <c r="E139" i="8"/>
  <c r="F139" i="8"/>
  <c r="G139" i="8"/>
  <c r="H139" i="8"/>
  <c r="I139" i="8"/>
  <c r="J139" i="8"/>
  <c r="K142" i="8"/>
  <c r="K143" i="8"/>
  <c r="K144" i="8"/>
  <c r="K145" i="8"/>
  <c r="D147" i="8"/>
  <c r="E147" i="8"/>
  <c r="F147" i="8"/>
  <c r="G147" i="8"/>
  <c r="H147" i="8"/>
  <c r="I147" i="8"/>
  <c r="J147" i="8"/>
  <c r="K150" i="8"/>
  <c r="D152" i="8"/>
  <c r="E152" i="8"/>
  <c r="F152" i="8"/>
  <c r="G152" i="8"/>
  <c r="H152" i="8"/>
  <c r="I152" i="8"/>
  <c r="J152" i="8"/>
  <c r="K155" i="8"/>
  <c r="D157" i="8"/>
  <c r="E157" i="8"/>
  <c r="F157" i="8"/>
  <c r="G157" i="8"/>
  <c r="H157" i="8"/>
  <c r="I157" i="8"/>
  <c r="J157" i="8"/>
  <c r="K160" i="8"/>
  <c r="D162" i="8"/>
  <c r="E162" i="8"/>
  <c r="F162" i="8"/>
  <c r="G162" i="8"/>
  <c r="H162" i="8"/>
  <c r="I162" i="8"/>
  <c r="J162" i="8"/>
  <c r="K165" i="8"/>
  <c r="D168" i="8"/>
  <c r="E168" i="8"/>
  <c r="F168" i="8"/>
  <c r="G168" i="8"/>
  <c r="H168" i="8"/>
  <c r="I168" i="8"/>
  <c r="J168" i="8"/>
  <c r="K171" i="8"/>
  <c r="D173" i="8"/>
  <c r="E173" i="8"/>
  <c r="F173" i="8"/>
  <c r="G173" i="8"/>
  <c r="H173" i="8"/>
  <c r="I173" i="8"/>
  <c r="J173" i="8"/>
  <c r="K176" i="8"/>
  <c r="D178" i="8"/>
  <c r="E178" i="8"/>
  <c r="F178" i="8"/>
  <c r="G178" i="8"/>
  <c r="H178" i="8"/>
  <c r="I178" i="8"/>
  <c r="J178" i="8"/>
  <c r="K181" i="8"/>
  <c r="K182" i="8"/>
  <c r="D184" i="8"/>
  <c r="E184" i="8"/>
  <c r="F184" i="8"/>
  <c r="G184" i="8"/>
  <c r="H184" i="8"/>
  <c r="I184" i="8"/>
  <c r="J184" i="8"/>
  <c r="K187" i="8"/>
  <c r="K188" i="8"/>
  <c r="K189" i="8"/>
  <c r="D191" i="8"/>
  <c r="E191" i="8"/>
  <c r="F191" i="8"/>
  <c r="G191" i="8"/>
  <c r="H191" i="8"/>
  <c r="I191" i="8"/>
  <c r="J191" i="8"/>
  <c r="K194" i="8"/>
  <c r="K195" i="8"/>
  <c r="D197" i="8"/>
  <c r="E197" i="8"/>
  <c r="F197" i="8"/>
  <c r="G197" i="8"/>
  <c r="H197" i="8"/>
  <c r="I197" i="8"/>
  <c r="J197" i="8"/>
  <c r="K200" i="8"/>
  <c r="K201" i="8"/>
  <c r="D203" i="8"/>
  <c r="E203" i="8"/>
  <c r="F203" i="8"/>
  <c r="G203" i="8"/>
  <c r="H203" i="8"/>
  <c r="I203" i="8"/>
  <c r="J203" i="8"/>
  <c r="K206" i="8"/>
  <c r="D208" i="8"/>
  <c r="E208" i="8"/>
  <c r="F208" i="8"/>
  <c r="G208" i="8"/>
  <c r="H208" i="8"/>
  <c r="I208" i="8"/>
  <c r="J208" i="8"/>
  <c r="K211" i="8"/>
  <c r="K212" i="8"/>
  <c r="D214" i="8"/>
  <c r="E214" i="8"/>
  <c r="F214" i="8"/>
  <c r="G214" i="8"/>
  <c r="H214" i="8"/>
  <c r="I214" i="8"/>
  <c r="J214" i="8"/>
  <c r="K217" i="8"/>
  <c r="K218" i="8"/>
  <c r="D220" i="8"/>
  <c r="E220" i="8"/>
  <c r="F220" i="8"/>
  <c r="G220" i="8"/>
  <c r="H220" i="8"/>
  <c r="I220" i="8"/>
  <c r="J220" i="8"/>
  <c r="K223" i="8"/>
  <c r="K224" i="8"/>
  <c r="D226" i="8"/>
  <c r="E226" i="8"/>
  <c r="F226" i="8"/>
  <c r="G226" i="8"/>
  <c r="H226" i="8"/>
  <c r="I226" i="8"/>
  <c r="J226" i="8"/>
  <c r="K229" i="8"/>
  <c r="K230" i="8"/>
  <c r="D232" i="8"/>
  <c r="E232" i="8"/>
  <c r="F232" i="8"/>
  <c r="G232" i="8"/>
  <c r="H232" i="8"/>
  <c r="I232" i="8"/>
  <c r="J232" i="8"/>
  <c r="K235" i="8"/>
  <c r="K236" i="8"/>
  <c r="D238" i="8"/>
  <c r="E238" i="8"/>
  <c r="F238" i="8"/>
  <c r="G238" i="8"/>
  <c r="H238" i="8"/>
  <c r="I238" i="8"/>
  <c r="J238" i="8"/>
  <c r="K241" i="8"/>
  <c r="D243" i="8"/>
  <c r="E243" i="8"/>
  <c r="F243" i="8"/>
  <c r="G243" i="8"/>
  <c r="H243" i="8"/>
  <c r="I243" i="8"/>
  <c r="J243" i="8"/>
  <c r="K246" i="8"/>
  <c r="K247" i="8"/>
  <c r="D249" i="8"/>
  <c r="E249" i="8"/>
  <c r="F249" i="8"/>
  <c r="G249" i="8"/>
  <c r="H249" i="8"/>
  <c r="I249" i="8"/>
  <c r="J249" i="8"/>
  <c r="K252" i="8"/>
  <c r="K253" i="8"/>
  <c r="D255" i="8"/>
  <c r="E255" i="8"/>
  <c r="F255" i="8"/>
  <c r="G255" i="8"/>
  <c r="H255" i="8"/>
  <c r="I255" i="8"/>
  <c r="J255" i="8"/>
  <c r="K258" i="8"/>
  <c r="K259" i="8"/>
  <c r="D261" i="8"/>
  <c r="E261" i="8"/>
  <c r="F261" i="8"/>
  <c r="G261" i="8"/>
  <c r="H261" i="8"/>
  <c r="I261" i="8"/>
  <c r="J261" i="8"/>
  <c r="K264" i="8"/>
  <c r="D266" i="8"/>
  <c r="E266" i="8"/>
  <c r="F266" i="8"/>
  <c r="G266" i="8"/>
  <c r="H266" i="8"/>
  <c r="I266" i="8"/>
  <c r="J266" i="8"/>
  <c r="K269" i="8"/>
  <c r="D272" i="8"/>
  <c r="E272" i="8"/>
  <c r="F272" i="8"/>
  <c r="G272" i="8"/>
  <c r="H272" i="8"/>
  <c r="I272" i="8"/>
  <c r="J272" i="8"/>
  <c r="K275" i="8"/>
  <c r="K276" i="8"/>
  <c r="K277" i="8"/>
  <c r="D279" i="8"/>
  <c r="K279" i="8" s="1"/>
  <c r="E279" i="8"/>
  <c r="F279" i="8"/>
  <c r="G279" i="8"/>
  <c r="H279" i="8"/>
  <c r="I279" i="8"/>
  <c r="J279" i="8"/>
  <c r="K282" i="8"/>
  <c r="K283" i="8"/>
  <c r="D285" i="8"/>
  <c r="E285" i="8"/>
  <c r="F285" i="8"/>
  <c r="G285" i="8"/>
  <c r="H285" i="8"/>
  <c r="I285" i="8"/>
  <c r="J285" i="8"/>
  <c r="K288" i="8"/>
  <c r="K289" i="8"/>
  <c r="D291" i="8"/>
  <c r="E291" i="8"/>
  <c r="F291" i="8"/>
  <c r="G291" i="8"/>
  <c r="H291" i="8"/>
  <c r="I291" i="8"/>
  <c r="J291" i="8"/>
  <c r="K294" i="8"/>
  <c r="D297" i="8"/>
  <c r="E297" i="8"/>
  <c r="F297" i="8"/>
  <c r="G297" i="8"/>
  <c r="H297" i="8"/>
  <c r="I297" i="8"/>
  <c r="J297" i="8"/>
  <c r="K300" i="8"/>
  <c r="K301" i="8"/>
  <c r="D303" i="8"/>
  <c r="E303" i="8"/>
  <c r="F303" i="8"/>
  <c r="G303" i="8"/>
  <c r="H303" i="8"/>
  <c r="I303" i="8"/>
  <c r="J303" i="8"/>
  <c r="I12" i="9"/>
  <c r="I17" i="9"/>
  <c r="I22" i="9"/>
  <c r="I28" i="9"/>
  <c r="I34" i="9"/>
  <c r="I41" i="9"/>
  <c r="I46" i="9"/>
  <c r="I54" i="9"/>
  <c r="I62" i="9"/>
  <c r="I67" i="9"/>
  <c r="I73" i="9"/>
  <c r="I81" i="9"/>
  <c r="I87" i="9"/>
  <c r="I94" i="9"/>
  <c r="I99" i="9"/>
  <c r="I105" i="9"/>
  <c r="I110" i="9"/>
  <c r="I118" i="9"/>
  <c r="I128" i="9"/>
  <c r="I134" i="9"/>
  <c r="I140" i="9"/>
  <c r="I148" i="9"/>
  <c r="I153" i="9"/>
  <c r="I158" i="9"/>
  <c r="I163" i="9"/>
  <c r="I168" i="9"/>
  <c r="I173" i="9"/>
  <c r="I178" i="9"/>
  <c r="I184" i="9"/>
  <c r="I191" i="9"/>
  <c r="I197" i="9"/>
  <c r="I203" i="9"/>
  <c r="I208" i="9"/>
  <c r="I214" i="9"/>
  <c r="I220" i="9"/>
  <c r="I226" i="9"/>
  <c r="I232" i="9"/>
  <c r="I238" i="9"/>
  <c r="I243" i="9"/>
  <c r="I249" i="9"/>
  <c r="I255" i="9"/>
  <c r="I261" i="9"/>
  <c r="I266" i="9"/>
  <c r="I272" i="9"/>
  <c r="I279" i="9"/>
  <c r="I285" i="9"/>
  <c r="I291" i="9"/>
  <c r="I297" i="9"/>
  <c r="I303" i="9"/>
  <c r="D303" i="9"/>
  <c r="E303" i="9"/>
  <c r="F303" i="9"/>
  <c r="G303" i="9"/>
  <c r="H303" i="9"/>
  <c r="J301" i="9"/>
  <c r="J300" i="9"/>
  <c r="D297" i="9"/>
  <c r="E297" i="9"/>
  <c r="F297" i="9"/>
  <c r="G297" i="9"/>
  <c r="H297" i="9"/>
  <c r="J294" i="9"/>
  <c r="D291" i="9"/>
  <c r="E291" i="9"/>
  <c r="F291" i="9"/>
  <c r="G291" i="9"/>
  <c r="H291" i="9"/>
  <c r="J288" i="9"/>
  <c r="D285" i="9"/>
  <c r="E285" i="9"/>
  <c r="F285" i="9"/>
  <c r="G285" i="9"/>
  <c r="H285" i="9"/>
  <c r="J283" i="9"/>
  <c r="J282" i="9"/>
  <c r="D279" i="9"/>
  <c r="E279" i="9"/>
  <c r="F279" i="9"/>
  <c r="G279" i="9"/>
  <c r="H279" i="9"/>
  <c r="J277" i="9"/>
  <c r="J276" i="9"/>
  <c r="J275" i="9"/>
  <c r="D272" i="9"/>
  <c r="E272" i="9"/>
  <c r="F272" i="9"/>
  <c r="G272" i="9"/>
  <c r="H272" i="9"/>
  <c r="J269" i="9"/>
  <c r="D266" i="9"/>
  <c r="E266" i="9"/>
  <c r="F266" i="9"/>
  <c r="G266" i="9"/>
  <c r="H266" i="9"/>
  <c r="J264" i="9"/>
  <c r="D261" i="9"/>
  <c r="E261" i="9"/>
  <c r="F261" i="9"/>
  <c r="G261" i="9"/>
  <c r="H261" i="9"/>
  <c r="J259" i="9"/>
  <c r="J258" i="9"/>
  <c r="D255" i="9"/>
  <c r="E255" i="9"/>
  <c r="F255" i="9"/>
  <c r="G255" i="9"/>
  <c r="H255" i="9"/>
  <c r="J253" i="9"/>
  <c r="J252" i="9"/>
  <c r="D249" i="9"/>
  <c r="E249" i="9"/>
  <c r="F249" i="9"/>
  <c r="G249" i="9"/>
  <c r="H249" i="9"/>
  <c r="J247" i="9"/>
  <c r="J246" i="9"/>
  <c r="D243" i="9"/>
  <c r="E243" i="9"/>
  <c r="F243" i="9"/>
  <c r="G243" i="9"/>
  <c r="H243" i="9"/>
  <c r="J241" i="9"/>
  <c r="D238" i="9"/>
  <c r="E238" i="9"/>
  <c r="F238" i="9"/>
  <c r="G238" i="9"/>
  <c r="H238" i="9"/>
  <c r="J236" i="9"/>
  <c r="J235" i="9"/>
  <c r="D232" i="9"/>
  <c r="E232" i="9"/>
  <c r="F232" i="9"/>
  <c r="G232" i="9"/>
  <c r="H232" i="9"/>
  <c r="J229" i="9"/>
  <c r="D226" i="9"/>
  <c r="E226" i="9"/>
  <c r="F226" i="9"/>
  <c r="G226" i="9"/>
  <c r="H226" i="9"/>
  <c r="J224" i="9"/>
  <c r="J223" i="9"/>
  <c r="D220" i="9"/>
  <c r="E220" i="9"/>
  <c r="F220" i="9"/>
  <c r="G220" i="9"/>
  <c r="H220" i="9"/>
  <c r="J218" i="9"/>
  <c r="J217" i="9"/>
  <c r="D214" i="9"/>
  <c r="E214" i="9"/>
  <c r="F214" i="9"/>
  <c r="G214" i="9"/>
  <c r="H214" i="9"/>
  <c r="J212" i="9"/>
  <c r="J211" i="9"/>
  <c r="D208" i="9"/>
  <c r="E208" i="9"/>
  <c r="F208" i="9"/>
  <c r="G208" i="9"/>
  <c r="H208" i="9"/>
  <c r="J206" i="9"/>
  <c r="D203" i="9"/>
  <c r="E203" i="9"/>
  <c r="F203" i="9"/>
  <c r="G203" i="9"/>
  <c r="H203" i="9"/>
  <c r="J201" i="9"/>
  <c r="J200" i="9"/>
  <c r="D197" i="9"/>
  <c r="E197" i="9"/>
  <c r="F197" i="9"/>
  <c r="G197" i="9"/>
  <c r="H197" i="9"/>
  <c r="J194" i="9"/>
  <c r="D191" i="9"/>
  <c r="E191" i="9"/>
  <c r="F191" i="9"/>
  <c r="G191" i="9"/>
  <c r="H191" i="9"/>
  <c r="J189" i="9"/>
  <c r="J188" i="9"/>
  <c r="J187" i="9"/>
  <c r="D184" i="9"/>
  <c r="E184" i="9"/>
  <c r="F184" i="9"/>
  <c r="G184" i="9"/>
  <c r="H184" i="9"/>
  <c r="J182" i="9"/>
  <c r="J181" i="9"/>
  <c r="D178" i="9"/>
  <c r="E178" i="9"/>
  <c r="F178" i="9"/>
  <c r="G178" i="9"/>
  <c r="H178" i="9"/>
  <c r="J176" i="9"/>
  <c r="D173" i="9"/>
  <c r="E173" i="9"/>
  <c r="F173" i="9"/>
  <c r="G173" i="9"/>
  <c r="H173" i="9"/>
  <c r="J171" i="9"/>
  <c r="D168" i="9"/>
  <c r="E168" i="9"/>
  <c r="F168" i="9"/>
  <c r="G168" i="9"/>
  <c r="H168" i="9"/>
  <c r="J166" i="9"/>
  <c r="D163" i="9"/>
  <c r="E163" i="9"/>
  <c r="F163" i="9"/>
  <c r="G163" i="9"/>
  <c r="H163" i="9"/>
  <c r="J161" i="9"/>
  <c r="D158" i="9"/>
  <c r="E158" i="9"/>
  <c r="F158" i="9"/>
  <c r="G158" i="9"/>
  <c r="H158" i="9"/>
  <c r="J156" i="9"/>
  <c r="D153" i="9"/>
  <c r="E153" i="9"/>
  <c r="F153" i="9"/>
  <c r="G153" i="9"/>
  <c r="H153" i="9"/>
  <c r="J151" i="9"/>
  <c r="D148" i="9"/>
  <c r="E148" i="9"/>
  <c r="F148" i="9"/>
  <c r="G148" i="9"/>
  <c r="H148" i="9"/>
  <c r="J146" i="9"/>
  <c r="J145" i="9"/>
  <c r="J144" i="9"/>
  <c r="J143" i="9"/>
  <c r="D140" i="9"/>
  <c r="E140" i="9"/>
  <c r="F140" i="9"/>
  <c r="G140" i="9"/>
  <c r="H140" i="9"/>
  <c r="J138" i="9"/>
  <c r="J137" i="9"/>
  <c r="D134" i="9"/>
  <c r="E134" i="9"/>
  <c r="F134" i="9"/>
  <c r="G134" i="9"/>
  <c r="H134" i="9"/>
  <c r="J132" i="9"/>
  <c r="J131" i="9"/>
  <c r="D128" i="9"/>
  <c r="E128" i="9"/>
  <c r="F128" i="9"/>
  <c r="G128" i="9"/>
  <c r="H128" i="9"/>
  <c r="J126" i="9"/>
  <c r="D118" i="9"/>
  <c r="E118" i="9"/>
  <c r="F118" i="9"/>
  <c r="G118" i="9"/>
  <c r="H118" i="9"/>
  <c r="J116" i="9"/>
  <c r="J115" i="9"/>
  <c r="J114" i="9"/>
  <c r="J113" i="9"/>
  <c r="D110" i="9"/>
  <c r="E110" i="9"/>
  <c r="F110" i="9"/>
  <c r="G110" i="9"/>
  <c r="H110" i="9"/>
  <c r="J108" i="9"/>
  <c r="D105" i="9"/>
  <c r="E105" i="9"/>
  <c r="F105" i="9"/>
  <c r="G105" i="9"/>
  <c r="H105" i="9"/>
  <c r="J103" i="9"/>
  <c r="J102" i="9"/>
  <c r="D99" i="9"/>
  <c r="E99" i="9"/>
  <c r="F99" i="9"/>
  <c r="G99" i="9"/>
  <c r="H99" i="9"/>
  <c r="J97" i="9"/>
  <c r="D94" i="9"/>
  <c r="E94" i="9"/>
  <c r="F94" i="9"/>
  <c r="G94" i="9"/>
  <c r="H94" i="9"/>
  <c r="J92" i="9"/>
  <c r="J91" i="9"/>
  <c r="J90" i="9"/>
  <c r="D87" i="9"/>
  <c r="E87" i="9"/>
  <c r="F87" i="9"/>
  <c r="G87" i="9"/>
  <c r="H87" i="9"/>
  <c r="J85" i="9"/>
  <c r="J84" i="9"/>
  <c r="D81" i="9"/>
  <c r="E81" i="9"/>
  <c r="F81" i="9"/>
  <c r="G81" i="9"/>
  <c r="H81" i="9"/>
  <c r="J79" i="9"/>
  <c r="J78" i="9"/>
  <c r="J77" i="9"/>
  <c r="J76" i="9"/>
  <c r="D73" i="9"/>
  <c r="E73" i="9"/>
  <c r="F73" i="9"/>
  <c r="G73" i="9"/>
  <c r="H73" i="9"/>
  <c r="J71" i="9"/>
  <c r="J70" i="9"/>
  <c r="D67" i="9"/>
  <c r="E67" i="9"/>
  <c r="F67" i="9"/>
  <c r="G67" i="9"/>
  <c r="H67" i="9"/>
  <c r="J64" i="9"/>
  <c r="D62" i="9"/>
  <c r="E62" i="9"/>
  <c r="F62" i="9"/>
  <c r="G62" i="9"/>
  <c r="H62" i="9"/>
  <c r="J60" i="9"/>
  <c r="J59" i="9"/>
  <c r="J58" i="9"/>
  <c r="J57" i="9"/>
  <c r="D54" i="9"/>
  <c r="E54" i="9"/>
  <c r="F54" i="9"/>
  <c r="G54" i="9"/>
  <c r="H54" i="9"/>
  <c r="J52" i="9"/>
  <c r="J51" i="9"/>
  <c r="D46" i="9"/>
  <c r="E46" i="9"/>
  <c r="F46" i="9"/>
  <c r="G46" i="9"/>
  <c r="H46" i="9"/>
  <c r="J44" i="9"/>
  <c r="D41" i="9"/>
  <c r="E41" i="9"/>
  <c r="F41" i="9"/>
  <c r="G41" i="9"/>
  <c r="H41" i="9"/>
  <c r="J39" i="9"/>
  <c r="J38" i="9"/>
  <c r="D34" i="9"/>
  <c r="E34" i="9"/>
  <c r="F34" i="9"/>
  <c r="G34" i="9"/>
  <c r="H34" i="9"/>
  <c r="J32" i="9"/>
  <c r="D28" i="9"/>
  <c r="E28" i="9"/>
  <c r="F28" i="9"/>
  <c r="G28" i="9"/>
  <c r="H28" i="9"/>
  <c r="J26" i="9"/>
  <c r="D22" i="9"/>
  <c r="E22" i="9"/>
  <c r="F22" i="9"/>
  <c r="G22" i="9"/>
  <c r="H22" i="9"/>
  <c r="J20" i="9"/>
  <c r="J19" i="9"/>
  <c r="J14" i="9"/>
  <c r="D17" i="9"/>
  <c r="E17" i="9"/>
  <c r="F17" i="9"/>
  <c r="G17" i="9"/>
  <c r="H17" i="9"/>
  <c r="J15" i="9"/>
  <c r="D12" i="9"/>
  <c r="E12" i="9"/>
  <c r="F12" i="9"/>
  <c r="G12" i="9"/>
  <c r="H12" i="9"/>
  <c r="J10" i="9"/>
  <c r="J9" i="9"/>
  <c r="E154" i="10"/>
  <c r="E12" i="10"/>
  <c r="E18" i="10"/>
  <c r="E24" i="10"/>
  <c r="E30" i="10"/>
  <c r="E36" i="10"/>
  <c r="E43" i="10"/>
  <c r="E48" i="10"/>
  <c r="E56" i="10"/>
  <c r="E64" i="10"/>
  <c r="E70" i="10"/>
  <c r="E76" i="10"/>
  <c r="E84" i="10"/>
  <c r="E90" i="10"/>
  <c r="E98" i="10"/>
  <c r="E103" i="10"/>
  <c r="E110" i="10"/>
  <c r="E115" i="10"/>
  <c r="E123" i="10"/>
  <c r="E133" i="10"/>
  <c r="E140" i="10"/>
  <c r="E146" i="10"/>
  <c r="E159" i="10"/>
  <c r="E164" i="10"/>
  <c r="E169" i="10"/>
  <c r="E174" i="10"/>
  <c r="E179" i="10"/>
  <c r="E184" i="10"/>
  <c r="E190" i="10"/>
  <c r="E197" i="10"/>
  <c r="E203" i="10"/>
  <c r="E217" i="10"/>
  <c r="E223" i="10"/>
  <c r="E229" i="10"/>
  <c r="E235" i="10"/>
  <c r="E241" i="10"/>
  <c r="E247" i="10"/>
  <c r="E252" i="10"/>
  <c r="E265" i="10"/>
  <c r="E271" i="10"/>
  <c r="E276" i="10"/>
  <c r="E282" i="10"/>
  <c r="E289" i="10"/>
  <c r="E295" i="10"/>
  <c r="E301" i="10"/>
  <c r="E307" i="10"/>
  <c r="E313" i="10"/>
  <c r="F12" i="10"/>
  <c r="F18" i="10"/>
  <c r="F24" i="10"/>
  <c r="F30" i="10"/>
  <c r="F36" i="10"/>
  <c r="F43" i="10"/>
  <c r="F48" i="10"/>
  <c r="F56" i="10"/>
  <c r="F64" i="10"/>
  <c r="F70" i="10"/>
  <c r="F84" i="10"/>
  <c r="F90" i="10"/>
  <c r="F98" i="10"/>
  <c r="F103" i="10"/>
  <c r="F115" i="10"/>
  <c r="F123" i="10"/>
  <c r="F133" i="10"/>
  <c r="F140" i="10"/>
  <c r="F146" i="10"/>
  <c r="F159" i="10"/>
  <c r="F164" i="10"/>
  <c r="F174" i="10"/>
  <c r="F179" i="10"/>
  <c r="F184" i="10"/>
  <c r="F197" i="10"/>
  <c r="F203" i="10"/>
  <c r="F217" i="10"/>
  <c r="F223" i="10"/>
  <c r="F229" i="10"/>
  <c r="F235" i="10"/>
  <c r="F241" i="10"/>
  <c r="F247" i="10"/>
  <c r="F252" i="10"/>
  <c r="F265" i="10"/>
  <c r="F271" i="10"/>
  <c r="F276" i="10"/>
  <c r="F282" i="10"/>
  <c r="F289" i="10"/>
  <c r="F295" i="10"/>
  <c r="F301" i="10"/>
  <c r="F307" i="10"/>
  <c r="F313" i="10"/>
  <c r="F76" i="10"/>
  <c r="F110" i="10"/>
  <c r="F154" i="10"/>
  <c r="F169" i="10"/>
  <c r="F190" i="10"/>
  <c r="G12" i="10"/>
  <c r="G24" i="10"/>
  <c r="G315" i="10" s="1"/>
  <c r="G36" i="10"/>
  <c r="G70" i="10"/>
  <c r="G84" i="10"/>
  <c r="G90" i="10"/>
  <c r="G98" i="10"/>
  <c r="G115" i="10"/>
  <c r="G123" i="10"/>
  <c r="G133" i="10"/>
  <c r="G146" i="10"/>
  <c r="G159" i="10"/>
  <c r="G164" i="10"/>
  <c r="G169" i="10"/>
  <c r="G184" i="10"/>
  <c r="G217" i="10"/>
  <c r="G223" i="10"/>
  <c r="G229" i="10"/>
  <c r="G235" i="10"/>
  <c r="G241" i="10"/>
  <c r="G247" i="10"/>
  <c r="G252" i="10"/>
  <c r="G265" i="10"/>
  <c r="G271" i="10"/>
  <c r="G276" i="10"/>
  <c r="G289" i="10"/>
  <c r="G295" i="10"/>
  <c r="G301" i="10"/>
  <c r="G307" i="10"/>
  <c r="G313" i="10"/>
  <c r="G18" i="10"/>
  <c r="G30" i="10"/>
  <c r="G43" i="10"/>
  <c r="G48" i="10"/>
  <c r="G56" i="10"/>
  <c r="G64" i="10"/>
  <c r="G76" i="10"/>
  <c r="G103" i="10"/>
  <c r="G110" i="10"/>
  <c r="G140" i="10"/>
  <c r="G154" i="10"/>
  <c r="G174" i="10"/>
  <c r="G179" i="10"/>
  <c r="G190" i="10"/>
  <c r="G197" i="10"/>
  <c r="G203" i="10"/>
  <c r="G282" i="10"/>
  <c r="H18" i="10"/>
  <c r="H70" i="10"/>
  <c r="H84" i="10"/>
  <c r="H98" i="10"/>
  <c r="H103" i="10"/>
  <c r="H110" i="10"/>
  <c r="H115" i="10"/>
  <c r="H133" i="10"/>
  <c r="H146" i="10"/>
  <c r="H159" i="10"/>
  <c r="H164" i="10"/>
  <c r="H184" i="10"/>
  <c r="H223" i="10"/>
  <c r="H235" i="10"/>
  <c r="H241" i="10"/>
  <c r="H247" i="10"/>
  <c r="H252" i="10"/>
  <c r="H271" i="10"/>
  <c r="H276" i="10"/>
  <c r="H289" i="10"/>
  <c r="H295" i="10"/>
  <c r="H307" i="10"/>
  <c r="H313" i="10"/>
  <c r="H12" i="10"/>
  <c r="H24" i="10"/>
  <c r="H30" i="10"/>
  <c r="H36" i="10"/>
  <c r="H43" i="10"/>
  <c r="H48" i="10"/>
  <c r="H56" i="10"/>
  <c r="H64" i="10"/>
  <c r="H76" i="10"/>
  <c r="H90" i="10"/>
  <c r="H123" i="10"/>
  <c r="H140" i="10"/>
  <c r="H154" i="10"/>
  <c r="H169" i="10"/>
  <c r="H174" i="10"/>
  <c r="H179" i="10"/>
  <c r="H190" i="10"/>
  <c r="H197" i="10"/>
  <c r="H203" i="10"/>
  <c r="H217" i="10"/>
  <c r="H229" i="10"/>
  <c r="H265" i="10"/>
  <c r="H282" i="10"/>
  <c r="H301" i="10"/>
  <c r="I70" i="10"/>
  <c r="I84" i="10"/>
  <c r="I103" i="10"/>
  <c r="I115" i="10"/>
  <c r="I133" i="10"/>
  <c r="I159" i="10"/>
  <c r="I174" i="10"/>
  <c r="I184" i="10"/>
  <c r="I197" i="10"/>
  <c r="I223" i="10"/>
  <c r="I235" i="10"/>
  <c r="I247" i="10"/>
  <c r="I252" i="10"/>
  <c r="I271" i="10"/>
  <c r="I276" i="10"/>
  <c r="I289" i="10"/>
  <c r="I295" i="10"/>
  <c r="I12" i="10"/>
  <c r="I18" i="10"/>
  <c r="I24" i="10"/>
  <c r="I30" i="10"/>
  <c r="I36" i="10"/>
  <c r="I43" i="10"/>
  <c r="I48" i="10"/>
  <c r="I56" i="10"/>
  <c r="I64" i="10"/>
  <c r="I76" i="10"/>
  <c r="I90" i="10"/>
  <c r="I98" i="10"/>
  <c r="I110" i="10"/>
  <c r="I123" i="10"/>
  <c r="I140" i="10"/>
  <c r="I146" i="10"/>
  <c r="I154" i="10"/>
  <c r="I164" i="10"/>
  <c r="I169" i="10"/>
  <c r="I179" i="10"/>
  <c r="I190" i="10"/>
  <c r="I203" i="10"/>
  <c r="I217" i="10"/>
  <c r="I229" i="10"/>
  <c r="I241" i="10"/>
  <c r="I265" i="10"/>
  <c r="I282" i="10"/>
  <c r="I301" i="10"/>
  <c r="I307" i="10"/>
  <c r="I313" i="10"/>
  <c r="D12" i="10"/>
  <c r="D18" i="10"/>
  <c r="D24" i="10"/>
  <c r="D30" i="10"/>
  <c r="D36" i="10"/>
  <c r="D43" i="10"/>
  <c r="D48" i="10"/>
  <c r="D56" i="10"/>
  <c r="D64" i="10"/>
  <c r="J64" i="10" s="1"/>
  <c r="D70" i="10"/>
  <c r="D76" i="10"/>
  <c r="D84" i="10"/>
  <c r="D90" i="10"/>
  <c r="D98" i="10"/>
  <c r="D103" i="10"/>
  <c r="D110" i="10"/>
  <c r="D115" i="10"/>
  <c r="J115" i="10" s="1"/>
  <c r="D123" i="10"/>
  <c r="D133" i="10"/>
  <c r="D140" i="10"/>
  <c r="D146" i="10"/>
  <c r="D154" i="10"/>
  <c r="D159" i="10"/>
  <c r="D164" i="10"/>
  <c r="D169" i="10"/>
  <c r="D174" i="10"/>
  <c r="D179" i="10"/>
  <c r="D184" i="10"/>
  <c r="D190" i="10"/>
  <c r="D197" i="10"/>
  <c r="D203" i="10"/>
  <c r="D217" i="10"/>
  <c r="D223" i="10"/>
  <c r="D229" i="10"/>
  <c r="D235" i="10"/>
  <c r="D241" i="10"/>
  <c r="D247" i="10"/>
  <c r="D252" i="10"/>
  <c r="D265" i="10"/>
  <c r="D271" i="10"/>
  <c r="D276" i="10"/>
  <c r="D282" i="10"/>
  <c r="D289" i="10"/>
  <c r="D295" i="10"/>
  <c r="D301" i="10"/>
  <c r="D307" i="10"/>
  <c r="D313" i="10"/>
  <c r="J311" i="10"/>
  <c r="J310" i="10"/>
  <c r="J304" i="10"/>
  <c r="J298" i="10"/>
  <c r="J293" i="10"/>
  <c r="J292" i="10"/>
  <c r="J287" i="10"/>
  <c r="J286" i="10"/>
  <c r="J285" i="10"/>
  <c r="J279" i="10"/>
  <c r="J274" i="10"/>
  <c r="J269" i="10"/>
  <c r="J268" i="10"/>
  <c r="J263" i="10"/>
  <c r="J262" i="10"/>
  <c r="J250" i="10"/>
  <c r="J245" i="10"/>
  <c r="J244" i="10"/>
  <c r="J238" i="10"/>
  <c r="J233" i="10"/>
  <c r="J232" i="10"/>
  <c r="J227" i="10"/>
  <c r="J226" i="10"/>
  <c r="J221" i="10"/>
  <c r="J220" i="10"/>
  <c r="J214" i="10"/>
  <c r="J200" i="10"/>
  <c r="J195" i="10"/>
  <c r="J194" i="10"/>
  <c r="J193" i="10"/>
  <c r="J188" i="10"/>
  <c r="J187" i="10"/>
  <c r="J182" i="10"/>
  <c r="J177" i="10"/>
  <c r="J172" i="10"/>
  <c r="J167" i="10"/>
  <c r="J162" i="10"/>
  <c r="J157" i="10"/>
  <c r="J152" i="10"/>
  <c r="J151" i="10"/>
  <c r="J150" i="10"/>
  <c r="J149" i="10"/>
  <c r="J144" i="10"/>
  <c r="J143" i="10"/>
  <c r="J138" i="10"/>
  <c r="J136" i="10"/>
  <c r="J131" i="10"/>
  <c r="J121" i="10"/>
  <c r="J120" i="10"/>
  <c r="J119" i="10"/>
  <c r="J118" i="10"/>
  <c r="J113" i="10"/>
  <c r="J108" i="10"/>
  <c r="J106" i="10"/>
  <c r="J101" i="10"/>
  <c r="J96" i="10"/>
  <c r="J95" i="10"/>
  <c r="J93" i="10"/>
  <c r="J88" i="10"/>
  <c r="J87" i="10"/>
  <c r="J82" i="10"/>
  <c r="J81" i="10"/>
  <c r="J80" i="10"/>
  <c r="J79" i="10"/>
  <c r="J74" i="10"/>
  <c r="J73" i="10"/>
  <c r="J67" i="10"/>
  <c r="J62" i="10"/>
  <c r="J61" i="10"/>
  <c r="J60" i="10"/>
  <c r="J59" i="10"/>
  <c r="J54" i="10"/>
  <c r="J53" i="10"/>
  <c r="J46" i="10"/>
  <c r="J41" i="10"/>
  <c r="J40" i="10"/>
  <c r="J34" i="10"/>
  <c r="J28" i="10"/>
  <c r="J22" i="10"/>
  <c r="J21" i="10"/>
  <c r="J16" i="10"/>
  <c r="J15" i="10"/>
  <c r="J10" i="10"/>
  <c r="J9" i="10"/>
  <c r="J34" i="9" l="1"/>
  <c r="J232" i="9"/>
  <c r="E315" i="10"/>
  <c r="J134" i="9"/>
  <c r="D271" i="7"/>
  <c r="D207" i="7"/>
  <c r="D156" i="7"/>
  <c r="J171" i="6"/>
  <c r="J173" i="13"/>
  <c r="J153" i="13"/>
  <c r="J293" i="18"/>
  <c r="J178" i="13"/>
  <c r="J158" i="13"/>
  <c r="J158" i="15"/>
  <c r="G309" i="15"/>
  <c r="J233" i="17"/>
  <c r="J84" i="18"/>
  <c r="J162" i="18"/>
  <c r="D260" i="7"/>
  <c r="D225" i="7"/>
  <c r="J225" i="7" s="1"/>
  <c r="D28" i="7"/>
  <c r="D17" i="7"/>
  <c r="J41" i="9"/>
  <c r="J238" i="9"/>
  <c r="K285" i="8"/>
  <c r="K232" i="8"/>
  <c r="K147" i="8"/>
  <c r="D237" i="7"/>
  <c r="J237" i="7" s="1"/>
  <c r="J181" i="4"/>
  <c r="J159" i="4"/>
  <c r="J151" i="3"/>
  <c r="J131" i="3"/>
  <c r="J179" i="2"/>
  <c r="J155" i="2"/>
  <c r="J223" i="1"/>
  <c r="J161" i="1"/>
  <c r="J107" i="1"/>
  <c r="J279" i="11"/>
  <c r="J266" i="11"/>
  <c r="J62" i="11"/>
  <c r="J259" i="10"/>
  <c r="J163" i="13"/>
  <c r="J283" i="15"/>
  <c r="J70" i="16"/>
  <c r="J144" i="4"/>
  <c r="J229" i="1"/>
  <c r="J167" i="1"/>
  <c r="J134" i="13"/>
  <c r="J28" i="13"/>
  <c r="J222" i="14"/>
  <c r="J132" i="17"/>
  <c r="D202" i="7"/>
  <c r="J202" i="7" s="1"/>
  <c r="J199" i="7"/>
  <c r="G308" i="12"/>
  <c r="J242" i="18"/>
  <c r="D245" i="18"/>
  <c r="D313" i="18" s="1"/>
  <c r="D62" i="7"/>
  <c r="J38" i="7"/>
  <c r="D41" i="7"/>
  <c r="E304" i="7"/>
  <c r="J156" i="3"/>
  <c r="J136" i="3"/>
  <c r="J185" i="2"/>
  <c r="J161" i="2"/>
  <c r="J137" i="2"/>
  <c r="J113" i="1"/>
  <c r="D308" i="13"/>
  <c r="D313" i="16"/>
  <c r="D213" i="7"/>
  <c r="J102" i="7"/>
  <c r="D105" i="7"/>
  <c r="J105" i="7" s="1"/>
  <c r="D81" i="7"/>
  <c r="J81" i="7" s="1"/>
  <c r="J44" i="7"/>
  <c r="D46" i="7"/>
  <c r="J46" i="7" s="1"/>
  <c r="J277" i="6"/>
  <c r="J270" i="6"/>
  <c r="J259" i="6"/>
  <c r="J150" i="6"/>
  <c r="J93" i="5"/>
  <c r="J87" i="5"/>
  <c r="J41" i="5"/>
  <c r="J170" i="4"/>
  <c r="J149" i="4"/>
  <c r="J235" i="1"/>
  <c r="J211" i="1"/>
  <c r="J118" i="12"/>
  <c r="J99" i="12"/>
  <c r="J87" i="12"/>
  <c r="J306" i="13"/>
  <c r="J252" i="13"/>
  <c r="I308" i="13"/>
  <c r="J282" i="14"/>
  <c r="J269" i="14"/>
  <c r="J240" i="14"/>
  <c r="J178" i="14"/>
  <c r="J158" i="14"/>
  <c r="G304" i="7"/>
  <c r="J70" i="7"/>
  <c r="D73" i="7"/>
  <c r="J73" i="7" s="1"/>
  <c r="F304" i="7"/>
  <c r="J165" i="4"/>
  <c r="J116" i="3"/>
  <c r="H271" i="3"/>
  <c r="J239" i="17"/>
  <c r="J169" i="10"/>
  <c r="J12" i="10"/>
  <c r="J36" i="10"/>
  <c r="J295" i="10"/>
  <c r="J133" i="10"/>
  <c r="J76" i="10"/>
  <c r="J24" i="10"/>
  <c r="J87" i="9"/>
  <c r="J140" i="9"/>
  <c r="K139" i="8"/>
  <c r="K41" i="8"/>
  <c r="J193" i="7"/>
  <c r="D196" i="7"/>
  <c r="J196" i="7" s="1"/>
  <c r="J175" i="4"/>
  <c r="J154" i="4"/>
  <c r="J241" i="1"/>
  <c r="J217" i="1"/>
  <c r="J261" i="11"/>
  <c r="J54" i="11"/>
  <c r="D305" i="11"/>
  <c r="J306" i="12"/>
  <c r="H308" i="12"/>
  <c r="J128" i="12"/>
  <c r="J299" i="16"/>
  <c r="J177" i="16"/>
  <c r="J305" i="16"/>
  <c r="J109" i="16"/>
  <c r="J271" i="10"/>
  <c r="J110" i="10"/>
  <c r="J223" i="10"/>
  <c r="J105" i="9"/>
  <c r="J128" i="9"/>
  <c r="I305" i="9"/>
  <c r="K81" i="8"/>
  <c r="J207" i="7"/>
  <c r="J160" i="6"/>
  <c r="J81" i="6"/>
  <c r="J34" i="6"/>
  <c r="J131" i="5"/>
  <c r="J98" i="5"/>
  <c r="J73" i="5"/>
  <c r="J161" i="3"/>
  <c r="J141" i="3"/>
  <c r="J121" i="3"/>
  <c r="J59" i="3"/>
  <c r="F271" i="3"/>
  <c r="D271" i="3"/>
  <c r="J167" i="2"/>
  <c r="J143" i="2"/>
  <c r="J119" i="2"/>
  <c r="J149" i="1"/>
  <c r="E310" i="1"/>
  <c r="J272" i="11"/>
  <c r="J28" i="11"/>
  <c r="J211" i="10"/>
  <c r="J22" i="12"/>
  <c r="J245" i="13"/>
  <c r="J252" i="14"/>
  <c r="J163" i="14"/>
  <c r="J46" i="15"/>
  <c r="J152" i="18"/>
  <c r="J305" i="18"/>
  <c r="F319" i="20"/>
  <c r="J98" i="20"/>
  <c r="J110" i="20"/>
  <c r="J140" i="20"/>
  <c r="J146" i="20"/>
  <c r="J164" i="20"/>
  <c r="J269" i="20"/>
  <c r="J275" i="20"/>
  <c r="J322" i="22"/>
  <c r="J307" i="15"/>
  <c r="J41" i="15"/>
  <c r="H309" i="15"/>
  <c r="J239" i="16"/>
  <c r="J195" i="17"/>
  <c r="J122" i="17"/>
  <c r="J98" i="17"/>
  <c r="J24" i="18"/>
  <c r="J109" i="18"/>
  <c r="J157" i="18"/>
  <c r="J195" i="18"/>
  <c r="J239" i="18"/>
  <c r="J265" i="10"/>
  <c r="J190" i="10"/>
  <c r="J99" i="9"/>
  <c r="J266" i="9"/>
  <c r="J303" i="9"/>
  <c r="K238" i="8"/>
  <c r="K226" i="8"/>
  <c r="H305" i="8"/>
  <c r="K178" i="8"/>
  <c r="K133" i="8"/>
  <c r="J166" i="6"/>
  <c r="J87" i="4"/>
  <c r="J73" i="4"/>
  <c r="D301" i="4"/>
  <c r="J166" i="3"/>
  <c r="J146" i="3"/>
  <c r="J126" i="3"/>
  <c r="J173" i="2"/>
  <c r="J149" i="2"/>
  <c r="J259" i="1"/>
  <c r="J179" i="1"/>
  <c r="J35" i="1"/>
  <c r="J288" i="12"/>
  <c r="J134" i="12"/>
  <c r="J22" i="13"/>
  <c r="J168" i="14"/>
  <c r="J148" i="14"/>
  <c r="J81" i="14"/>
  <c r="E308" i="14"/>
  <c r="I309" i="15"/>
  <c r="J204" i="16"/>
  <c r="F313" i="16"/>
  <c r="J64" i="18"/>
  <c r="J167" i="18"/>
  <c r="J215" i="18"/>
  <c r="J280" i="18"/>
  <c r="J299" i="18"/>
  <c r="J161" i="19"/>
  <c r="J182" i="19"/>
  <c r="J167" i="19"/>
  <c r="J323" i="19"/>
  <c r="J268" i="19"/>
  <c r="J214" i="19"/>
  <c r="J311" i="19"/>
  <c r="J291" i="19"/>
  <c r="J187" i="19"/>
  <c r="J77" i="19"/>
  <c r="J48" i="19"/>
  <c r="F305" i="8"/>
  <c r="J22" i="9"/>
  <c r="J22" i="7"/>
  <c r="J285" i="19"/>
  <c r="J235" i="10"/>
  <c r="J94" i="11"/>
  <c r="D308" i="12"/>
  <c r="J62" i="13"/>
  <c r="D315" i="10"/>
  <c r="J203" i="10"/>
  <c r="J48" i="10"/>
  <c r="J184" i="12"/>
  <c r="J73" i="12"/>
  <c r="J221" i="16"/>
  <c r="J43" i="16"/>
  <c r="J297" i="9"/>
  <c r="J236" i="6"/>
  <c r="J235" i="5"/>
  <c r="J164" i="10"/>
  <c r="J179" i="10"/>
  <c r="J67" i="9"/>
  <c r="J90" i="7"/>
  <c r="D94" i="7"/>
  <c r="J94" i="7" s="1"/>
  <c r="H305" i="11"/>
  <c r="J34" i="13"/>
  <c r="J313" i="10"/>
  <c r="J159" i="10"/>
  <c r="I315" i="10"/>
  <c r="J203" i="9"/>
  <c r="I308" i="12"/>
  <c r="J307" i="10"/>
  <c r="J252" i="10"/>
  <c r="J197" i="10"/>
  <c r="J154" i="10"/>
  <c r="J98" i="10"/>
  <c r="J235" i="7"/>
  <c r="J265" i="1"/>
  <c r="J185" i="1"/>
  <c r="F309" i="15"/>
  <c r="H313" i="16"/>
  <c r="G303" i="6"/>
  <c r="J212" i="6"/>
  <c r="J189" i="6"/>
  <c r="J90" i="10"/>
  <c r="E305" i="9"/>
  <c r="J81" i="9"/>
  <c r="J118" i="11"/>
  <c r="H319" i="20"/>
  <c r="J103" i="10"/>
  <c r="I304" i="7"/>
  <c r="J301" i="10"/>
  <c r="K220" i="8"/>
  <c r="D242" i="7"/>
  <c r="J242" i="7" s="1"/>
  <c r="J54" i="5"/>
  <c r="D301" i="5"/>
  <c r="J307" i="1"/>
  <c r="G310" i="1"/>
  <c r="J22" i="11"/>
  <c r="J12" i="11"/>
  <c r="J264" i="14"/>
  <c r="J153" i="15"/>
  <c r="E305" i="8"/>
  <c r="E306" i="8" s="1"/>
  <c r="K306" i="8" s="1"/>
  <c r="I303" i="6"/>
  <c r="D305" i="9"/>
  <c r="J73" i="9"/>
  <c r="J201" i="6"/>
  <c r="J223" i="5"/>
  <c r="I305" i="11"/>
  <c r="F315" i="10"/>
  <c r="J217" i="10"/>
  <c r="J123" i="10"/>
  <c r="J41" i="7"/>
  <c r="K214" i="8"/>
  <c r="J299" i="7"/>
  <c r="D302" i="7"/>
  <c r="J302" i="7" s="1"/>
  <c r="E301" i="5"/>
  <c r="J205" i="5"/>
  <c r="H303" i="2"/>
  <c r="D303" i="2"/>
  <c r="I308" i="14"/>
  <c r="H308" i="14"/>
  <c r="G308" i="14"/>
  <c r="E309" i="15"/>
  <c r="K184" i="8"/>
  <c r="K168" i="8"/>
  <c r="G305" i="8"/>
  <c r="J117" i="6"/>
  <c r="J94" i="6"/>
  <c r="J211" i="5"/>
  <c r="F303" i="2"/>
  <c r="J34" i="11"/>
  <c r="J275" i="14"/>
  <c r="J245" i="14"/>
  <c r="F308" i="14"/>
  <c r="J163" i="15"/>
  <c r="J134" i="15"/>
  <c r="J62" i="15"/>
  <c r="J165" i="5"/>
  <c r="G305" i="11"/>
  <c r="J99" i="11"/>
  <c r="J87" i="11"/>
  <c r="D308" i="14"/>
  <c r="J17" i="14"/>
  <c r="J263" i="16"/>
  <c r="J48" i="16"/>
  <c r="F313" i="18"/>
  <c r="J12" i="18"/>
  <c r="J247" i="10"/>
  <c r="J148" i="9"/>
  <c r="J168" i="9"/>
  <c r="J197" i="9"/>
  <c r="K291" i="8"/>
  <c r="D190" i="7"/>
  <c r="J190" i="7" s="1"/>
  <c r="H304" i="7"/>
  <c r="J247" i="6"/>
  <c r="D303" i="6"/>
  <c r="D304" i="6" s="1"/>
  <c r="J224" i="6"/>
  <c r="J229" i="5"/>
  <c r="J170" i="5"/>
  <c r="H301" i="5"/>
  <c r="J93" i="4"/>
  <c r="H301" i="4"/>
  <c r="J65" i="3"/>
  <c r="J131" i="2"/>
  <c r="J11" i="1"/>
  <c r="J294" i="12"/>
  <c r="J234" i="12"/>
  <c r="J222" i="13"/>
  <c r="J105" i="13"/>
  <c r="J81" i="13"/>
  <c r="J306" i="14"/>
  <c r="J110" i="14"/>
  <c r="J62" i="14"/>
  <c r="J265" i="15"/>
  <c r="J211" i="15"/>
  <c r="J293" i="16"/>
  <c r="J30" i="17"/>
  <c r="J12" i="17"/>
  <c r="G313" i="18"/>
  <c r="J138" i="18"/>
  <c r="J233" i="18"/>
  <c r="J257" i="18"/>
  <c r="J184" i="11"/>
  <c r="J228" i="12"/>
  <c r="J67" i="13"/>
  <c r="J105" i="14"/>
  <c r="J223" i="15"/>
  <c r="J184" i="10"/>
  <c r="J84" i="10"/>
  <c r="K87" i="8"/>
  <c r="I305" i="8"/>
  <c r="K34" i="8"/>
  <c r="K22" i="8"/>
  <c r="J305" i="8"/>
  <c r="D305" i="8"/>
  <c r="J175" i="5"/>
  <c r="J276" i="4"/>
  <c r="J98" i="4"/>
  <c r="J34" i="4"/>
  <c r="J70" i="3"/>
  <c r="J17" i="1"/>
  <c r="J300" i="12"/>
  <c r="H308" i="13"/>
  <c r="J67" i="14"/>
  <c r="J270" i="15"/>
  <c r="J36" i="17"/>
  <c r="H313" i="18"/>
  <c r="J114" i="18"/>
  <c r="J182" i="18"/>
  <c r="J188" i="18"/>
  <c r="J201" i="18"/>
  <c r="H305" i="9"/>
  <c r="F305" i="9"/>
  <c r="F306" i="9" s="1"/>
  <c r="J306" i="9" s="1"/>
  <c r="K99" i="8"/>
  <c r="E303" i="6"/>
  <c r="J181" i="5"/>
  <c r="F301" i="5"/>
  <c r="J282" i="4"/>
  <c r="J104" i="4"/>
  <c r="J81" i="4"/>
  <c r="J41" i="4"/>
  <c r="J249" i="3"/>
  <c r="G271" i="3"/>
  <c r="J23" i="1"/>
  <c r="J264" i="13"/>
  <c r="G308" i="13"/>
  <c r="J276" i="15"/>
  <c r="J17" i="15"/>
  <c r="J177" i="18"/>
  <c r="H315" i="10"/>
  <c r="G305" i="9"/>
  <c r="K127" i="8"/>
  <c r="J293" i="7"/>
  <c r="D296" i="7"/>
  <c r="J231" i="7"/>
  <c r="J46" i="6"/>
  <c r="J28" i="6"/>
  <c r="G301" i="5"/>
  <c r="J200" i="5"/>
  <c r="J188" i="5"/>
  <c r="J22" i="5"/>
  <c r="J12" i="5"/>
  <c r="J119" i="1"/>
  <c r="J95" i="1"/>
  <c r="J275" i="12"/>
  <c r="F308" i="12"/>
  <c r="E308" i="12"/>
  <c r="F308" i="13"/>
  <c r="J201" i="17"/>
  <c r="J188" i="17"/>
  <c r="J43" i="18"/>
  <c r="J48" i="18"/>
  <c r="J70" i="18"/>
  <c r="J76" i="18"/>
  <c r="J172" i="18"/>
  <c r="J241" i="10"/>
  <c r="J146" i="10"/>
  <c r="K157" i="8"/>
  <c r="K73" i="8"/>
  <c r="D138" i="7"/>
  <c r="J138" i="7" s="1"/>
  <c r="J182" i="6"/>
  <c r="J99" i="6"/>
  <c r="J194" i="5"/>
  <c r="J159" i="5"/>
  <c r="J288" i="4"/>
  <c r="G301" i="4"/>
  <c r="E301" i="4"/>
  <c r="J109" i="4"/>
  <c r="J46" i="4"/>
  <c r="J254" i="3"/>
  <c r="J36" i="3"/>
  <c r="G303" i="2"/>
  <c r="J216" i="12"/>
  <c r="J140" i="12"/>
  <c r="J28" i="12"/>
  <c r="J282" i="13"/>
  <c r="J269" i="13"/>
  <c r="J210" i="13"/>
  <c r="J46" i="13"/>
  <c r="J12" i="13"/>
  <c r="J41" i="14"/>
  <c r="J246" i="15"/>
  <c r="J173" i="15"/>
  <c r="J157" i="16"/>
  <c r="J132" i="18"/>
  <c r="J269" i="18"/>
  <c r="J311" i="18"/>
  <c r="J36" i="20"/>
  <c r="J43" i="20"/>
  <c r="J70" i="20"/>
  <c r="J76" i="20"/>
  <c r="J184" i="20"/>
  <c r="J190" i="20"/>
  <c r="J203" i="20"/>
  <c r="J210" i="14"/>
  <c r="J103" i="18"/>
  <c r="J250" i="18"/>
  <c r="J274" i="18"/>
  <c r="J289" i="10"/>
  <c r="J140" i="10"/>
  <c r="J158" i="9"/>
  <c r="J184" i="9"/>
  <c r="J285" i="9"/>
  <c r="K266" i="8"/>
  <c r="K67" i="8"/>
  <c r="J289" i="6"/>
  <c r="H303" i="6"/>
  <c r="J155" i="6"/>
  <c r="J138" i="6"/>
  <c r="J73" i="6"/>
  <c r="J294" i="4"/>
  <c r="J115" i="4"/>
  <c r="J54" i="4"/>
  <c r="J259" i="3"/>
  <c r="E271" i="3"/>
  <c r="J42" i="3"/>
  <c r="J226" i="11"/>
  <c r="J205" i="12"/>
  <c r="J34" i="12"/>
  <c r="J12" i="12"/>
  <c r="J275" i="13"/>
  <c r="J46" i="14"/>
  <c r="J178" i="15"/>
  <c r="J105" i="15"/>
  <c r="J81" i="15"/>
  <c r="J182" i="16"/>
  <c r="J162" i="16"/>
  <c r="J144" i="18"/>
  <c r="J168" i="15"/>
  <c r="J209" i="16"/>
  <c r="J152" i="16"/>
  <c r="H313" i="17"/>
  <c r="J90" i="18"/>
  <c r="J227" i="18"/>
  <c r="J229" i="10"/>
  <c r="J178" i="9"/>
  <c r="J279" i="9"/>
  <c r="J299" i="4"/>
  <c r="J60" i="4"/>
  <c r="J264" i="3"/>
  <c r="J47" i="3"/>
  <c r="E303" i="2"/>
  <c r="J303" i="11"/>
  <c r="J232" i="11"/>
  <c r="J17" i="11"/>
  <c r="J282" i="12"/>
  <c r="J264" i="12"/>
  <c r="J258" i="12"/>
  <c r="J54" i="12"/>
  <c r="J205" i="14"/>
  <c r="J167" i="16"/>
  <c r="J56" i="17"/>
  <c r="J18" i="18"/>
  <c r="J36" i="18"/>
  <c r="J209" i="18"/>
  <c r="D319" i="20"/>
  <c r="J18" i="20"/>
  <c r="J24" i="20"/>
  <c r="J84" i="20"/>
  <c r="J90" i="20"/>
  <c r="J174" i="20"/>
  <c r="J217" i="20"/>
  <c r="J223" i="20"/>
  <c r="J229" i="20"/>
  <c r="J235" i="20"/>
  <c r="J286" i="20"/>
  <c r="J305" i="20"/>
  <c r="J41" i="13"/>
  <c r="J241" i="15"/>
  <c r="I313" i="18"/>
  <c r="J287" i="18"/>
  <c r="J276" i="10"/>
  <c r="F303" i="6"/>
  <c r="I301" i="5"/>
  <c r="J67" i="4"/>
  <c r="J269" i="3"/>
  <c r="J54" i="3"/>
  <c r="J277" i="1"/>
  <c r="J249" i="11"/>
  <c r="J140" i="11"/>
  <c r="J128" i="11"/>
  <c r="J81" i="11"/>
  <c r="J269" i="12"/>
  <c r="J153" i="12"/>
  <c r="E308" i="13"/>
  <c r="J205" i="13"/>
  <c r="J134" i="14"/>
  <c r="J148" i="15"/>
  <c r="J67" i="15"/>
  <c r="J233" i="16"/>
  <c r="J172" i="16"/>
  <c r="J64" i="16"/>
  <c r="J24" i="17"/>
  <c r="E313" i="18"/>
  <c r="J200" i="19"/>
  <c r="J206" i="19"/>
  <c r="J305" i="19"/>
  <c r="J105" i="19"/>
  <c r="J71" i="19"/>
  <c r="J125" i="19"/>
  <c r="J24" i="19"/>
  <c r="J177" i="19"/>
  <c r="J117" i="19"/>
  <c r="J91" i="19"/>
  <c r="J299" i="19"/>
  <c r="J232" i="19"/>
  <c r="J148" i="19"/>
  <c r="J99" i="19"/>
  <c r="J18" i="19"/>
  <c r="J274" i="19"/>
  <c r="J246" i="19"/>
  <c r="J172" i="19"/>
  <c r="J56" i="19"/>
  <c r="J226" i="19"/>
  <c r="J220" i="19"/>
  <c r="J156" i="19"/>
  <c r="J282" i="10"/>
  <c r="J174" i="10"/>
  <c r="J70" i="10"/>
  <c r="J56" i="10"/>
  <c r="J43" i="10"/>
  <c r="J30" i="10"/>
  <c r="J18" i="10"/>
  <c r="J12" i="9"/>
  <c r="J17" i="9"/>
  <c r="J46" i="9"/>
  <c r="J62" i="9"/>
  <c r="J110" i="9"/>
  <c r="J153" i="9"/>
  <c r="J173" i="9"/>
  <c r="J208" i="9"/>
  <c r="J220" i="9"/>
  <c r="J243" i="9"/>
  <c r="J255" i="9"/>
  <c r="J272" i="9"/>
  <c r="K297" i="8"/>
  <c r="K261" i="8"/>
  <c r="K249" i="8"/>
  <c r="K197" i="8"/>
  <c r="K173" i="8"/>
  <c r="K152" i="8"/>
  <c r="K110" i="8"/>
  <c r="K62" i="8"/>
  <c r="K46" i="8"/>
  <c r="K17" i="8"/>
  <c r="J296" i="7"/>
  <c r="D290" i="7"/>
  <c r="J290" i="7" s="1"/>
  <c r="D284" i="7"/>
  <c r="J284" i="7" s="1"/>
  <c r="J271" i="7"/>
  <c r="D265" i="7"/>
  <c r="J265" i="7" s="1"/>
  <c r="J260" i="7"/>
  <c r="D254" i="7"/>
  <c r="J254" i="7" s="1"/>
  <c r="D219" i="7"/>
  <c r="J219" i="7" s="1"/>
  <c r="D183" i="7"/>
  <c r="J183" i="7" s="1"/>
  <c r="J172" i="7"/>
  <c r="J149" i="7"/>
  <c r="D151" i="7"/>
  <c r="J151" i="7" s="1"/>
  <c r="D146" i="7"/>
  <c r="J146" i="7" s="1"/>
  <c r="D132" i="7"/>
  <c r="J132" i="7" s="1"/>
  <c r="D99" i="7"/>
  <c r="J99" i="7" s="1"/>
  <c r="J28" i="9"/>
  <c r="J54" i="9"/>
  <c r="J94" i="9"/>
  <c r="J118" i="9"/>
  <c r="J163" i="9"/>
  <c r="J191" i="9"/>
  <c r="J214" i="9"/>
  <c r="J226" i="9"/>
  <c r="J249" i="9"/>
  <c r="J261" i="9"/>
  <c r="J291" i="9"/>
  <c r="K303" i="8"/>
  <c r="K272" i="8"/>
  <c r="K255" i="8"/>
  <c r="K243" i="8"/>
  <c r="K208" i="8"/>
  <c r="K203" i="8"/>
  <c r="K191" i="8"/>
  <c r="K162" i="8"/>
  <c r="K118" i="8"/>
  <c r="K94" i="8"/>
  <c r="K54" i="8"/>
  <c r="K28" i="8"/>
  <c r="K12" i="8"/>
  <c r="J278" i="7"/>
  <c r="J248" i="7"/>
  <c r="J213" i="7"/>
  <c r="J177" i="7"/>
  <c r="J167" i="7"/>
  <c r="J159" i="7"/>
  <c r="D161" i="7"/>
  <c r="J161" i="7" s="1"/>
  <c r="J113" i="7"/>
  <c r="D117" i="7"/>
  <c r="J117" i="7" s="1"/>
  <c r="J156" i="7"/>
  <c r="J126" i="7"/>
  <c r="J110" i="7"/>
  <c r="D67" i="7"/>
  <c r="J67" i="7" s="1"/>
  <c r="J62" i="7"/>
  <c r="D54" i="7"/>
  <c r="J54" i="7" s="1"/>
  <c r="J34" i="7"/>
  <c r="J17" i="7"/>
  <c r="D12" i="7"/>
  <c r="J295" i="6"/>
  <c r="J264" i="6"/>
  <c r="J241" i="6"/>
  <c r="J218" i="6"/>
  <c r="J195" i="6"/>
  <c r="J145" i="6"/>
  <c r="J126" i="6"/>
  <c r="J105" i="6"/>
  <c r="J87" i="6"/>
  <c r="J54" i="6"/>
  <c r="J22" i="6"/>
  <c r="J299" i="5"/>
  <c r="J288" i="5"/>
  <c r="J276" i="5"/>
  <c r="J263" i="5"/>
  <c r="J252" i="5"/>
  <c r="J240" i="5"/>
  <c r="J154" i="5"/>
  <c r="J144" i="5"/>
  <c r="J125" i="5"/>
  <c r="J109" i="5"/>
  <c r="J81" i="5"/>
  <c r="J62" i="5"/>
  <c r="J34" i="5"/>
  <c r="J17" i="5"/>
  <c r="J263" i="4"/>
  <c r="J252" i="4"/>
  <c r="J240" i="4"/>
  <c r="J229" i="4"/>
  <c r="J217" i="4"/>
  <c r="J205" i="4"/>
  <c r="J194" i="4"/>
  <c r="J137" i="4"/>
  <c r="J125" i="4"/>
  <c r="J22" i="4"/>
  <c r="J12" i="4"/>
  <c r="J238" i="3"/>
  <c r="J228" i="3"/>
  <c r="J218" i="3"/>
  <c r="J207" i="3"/>
  <c r="J197" i="3"/>
  <c r="J187" i="3"/>
  <c r="J177" i="3"/>
  <c r="J106" i="3"/>
  <c r="J96" i="3"/>
  <c r="J86" i="3"/>
  <c r="J76" i="3"/>
  <c r="J24" i="3"/>
  <c r="J11" i="3"/>
  <c r="J300" i="2"/>
  <c r="J288" i="2"/>
  <c r="J276" i="2"/>
  <c r="J264" i="2"/>
  <c r="J252" i="2"/>
  <c r="J240" i="2"/>
  <c r="J230" i="2"/>
  <c r="J219" i="2"/>
  <c r="J208" i="2"/>
  <c r="J198" i="2"/>
  <c r="J295" i="1"/>
  <c r="J271" i="1"/>
  <c r="J204" i="1"/>
  <c r="J155" i="1"/>
  <c r="J137" i="1"/>
  <c r="J125" i="1"/>
  <c r="J83" i="1"/>
  <c r="J71" i="1"/>
  <c r="J59" i="1"/>
  <c r="J87" i="7"/>
  <c r="J28" i="7"/>
  <c r="J301" i="6"/>
  <c r="J283" i="6"/>
  <c r="J253" i="6"/>
  <c r="J230" i="6"/>
  <c r="J206" i="6"/>
  <c r="J176" i="6"/>
  <c r="J41" i="6"/>
  <c r="J12" i="6"/>
  <c r="J294" i="5"/>
  <c r="J282" i="5"/>
  <c r="J269" i="5"/>
  <c r="J258" i="5"/>
  <c r="J246" i="5"/>
  <c r="J149" i="5"/>
  <c r="J137" i="5"/>
  <c r="J116" i="5"/>
  <c r="J104" i="5"/>
  <c r="J67" i="5"/>
  <c r="J46" i="5"/>
  <c r="J28" i="5"/>
  <c r="J269" i="4"/>
  <c r="J258" i="4"/>
  <c r="J246" i="4"/>
  <c r="J235" i="4"/>
  <c r="J223" i="4"/>
  <c r="J211" i="4"/>
  <c r="J200" i="4"/>
  <c r="J188" i="4"/>
  <c r="J131" i="4"/>
  <c r="J28" i="4"/>
  <c r="J17" i="4"/>
  <c r="J243" i="3"/>
  <c r="J233" i="3"/>
  <c r="J223" i="3"/>
  <c r="J213" i="3"/>
  <c r="J202" i="3"/>
  <c r="J192" i="3"/>
  <c r="J182" i="3"/>
  <c r="J172" i="3"/>
  <c r="J101" i="3"/>
  <c r="J91" i="3"/>
  <c r="J81" i="3"/>
  <c r="J30" i="3"/>
  <c r="J18" i="3"/>
  <c r="J294" i="2"/>
  <c r="J282" i="2"/>
  <c r="J270" i="2"/>
  <c r="J258" i="2"/>
  <c r="J246" i="2"/>
  <c r="J235" i="2"/>
  <c r="J225" i="2"/>
  <c r="J214" i="2"/>
  <c r="J203" i="2"/>
  <c r="J192" i="2"/>
  <c r="J113" i="2"/>
  <c r="J89" i="2"/>
  <c r="J77" i="2"/>
  <c r="J65" i="2"/>
  <c r="J53" i="2"/>
  <c r="J41" i="2"/>
  <c r="J29" i="2"/>
  <c r="J17" i="2"/>
  <c r="J11" i="2"/>
  <c r="J301" i="1"/>
  <c r="J289" i="1"/>
  <c r="J247" i="1"/>
  <c r="J173" i="1"/>
  <c r="J143" i="1"/>
  <c r="J131" i="1"/>
  <c r="J89" i="1"/>
  <c r="J77" i="1"/>
  <c r="J65" i="1"/>
  <c r="J53" i="1"/>
  <c r="H310" i="1"/>
  <c r="D310" i="1"/>
  <c r="J29" i="1"/>
  <c r="J297" i="11"/>
  <c r="J285" i="11"/>
  <c r="J243" i="11"/>
  <c r="J220" i="11"/>
  <c r="J203" i="11"/>
  <c r="J178" i="11"/>
  <c r="J168" i="11"/>
  <c r="J158" i="11"/>
  <c r="J148" i="11"/>
  <c r="J134" i="11"/>
  <c r="J110" i="11"/>
  <c r="J41" i="11"/>
  <c r="J240" i="12"/>
  <c r="J210" i="12"/>
  <c r="J173" i="12"/>
  <c r="J163" i="12"/>
  <c r="J105" i="12"/>
  <c r="J81" i="12"/>
  <c r="J62" i="12"/>
  <c r="J46" i="12"/>
  <c r="J17" i="12"/>
  <c r="J294" i="13"/>
  <c r="J258" i="13"/>
  <c r="J228" i="13"/>
  <c r="J197" i="13"/>
  <c r="J184" i="13"/>
  <c r="J128" i="13"/>
  <c r="J99" i="13"/>
  <c r="J87" i="13"/>
  <c r="J73" i="13"/>
  <c r="J294" i="14"/>
  <c r="J258" i="14"/>
  <c r="J228" i="14"/>
  <c r="J197" i="14"/>
  <c r="J184" i="14"/>
  <c r="J128" i="14"/>
  <c r="J118" i="14"/>
  <c r="J94" i="14"/>
  <c r="J73" i="14"/>
  <c r="J34" i="14"/>
  <c r="J22" i="14"/>
  <c r="J301" i="15"/>
  <c r="J289" i="15"/>
  <c r="D309" i="15"/>
  <c r="J235" i="15"/>
  <c r="J217" i="15"/>
  <c r="J287" i="16"/>
  <c r="J274" i="16"/>
  <c r="J257" i="16"/>
  <c r="J245" i="16"/>
  <c r="J215" i="16"/>
  <c r="G209" i="16"/>
  <c r="J195" i="16"/>
  <c r="J132" i="16"/>
  <c r="J122" i="16"/>
  <c r="J114" i="16"/>
  <c r="J98" i="16"/>
  <c r="J76" i="16"/>
  <c r="J36" i="16"/>
  <c r="J24" i="16"/>
  <c r="J18" i="16"/>
  <c r="J12" i="16"/>
  <c r="J305" i="17"/>
  <c r="J293" i="17"/>
  <c r="J287" i="17"/>
  <c r="J274" i="17"/>
  <c r="J218" i="17"/>
  <c r="D221" i="17"/>
  <c r="J144" i="17"/>
  <c r="F313" i="17"/>
  <c r="J125" i="2"/>
  <c r="J95" i="2"/>
  <c r="J83" i="2"/>
  <c r="J71" i="2"/>
  <c r="J59" i="2"/>
  <c r="J47" i="2"/>
  <c r="J35" i="2"/>
  <c r="J23" i="2"/>
  <c r="F310" i="1"/>
  <c r="J283" i="1"/>
  <c r="J253" i="1"/>
  <c r="J198" i="1"/>
  <c r="J192" i="1"/>
  <c r="J101" i="1"/>
  <c r="J47" i="1"/>
  <c r="J41" i="1"/>
  <c r="E305" i="11"/>
  <c r="J291" i="11"/>
  <c r="J255" i="11"/>
  <c r="J238" i="11"/>
  <c r="J208" i="11"/>
  <c r="J173" i="11"/>
  <c r="J163" i="11"/>
  <c r="J153" i="11"/>
  <c r="J105" i="11"/>
  <c r="J67" i="11"/>
  <c r="J46" i="11"/>
  <c r="J245" i="12"/>
  <c r="J222" i="12"/>
  <c r="J178" i="12"/>
  <c r="J168" i="12"/>
  <c r="J158" i="12"/>
  <c r="J148" i="12"/>
  <c r="J110" i="12"/>
  <c r="J94" i="12"/>
  <c r="J67" i="12"/>
  <c r="J41" i="12"/>
  <c r="J300" i="13"/>
  <c r="J288" i="13"/>
  <c r="J240" i="13"/>
  <c r="J234" i="13"/>
  <c r="J216" i="13"/>
  <c r="J191" i="13"/>
  <c r="J140" i="13"/>
  <c r="J118" i="13"/>
  <c r="J110" i="13"/>
  <c r="J94" i="13"/>
  <c r="J54" i="13"/>
  <c r="J17" i="13"/>
  <c r="J300" i="14"/>
  <c r="J288" i="14"/>
  <c r="J234" i="14"/>
  <c r="J216" i="14"/>
  <c r="J191" i="14"/>
  <c r="J140" i="14"/>
  <c r="J99" i="14"/>
  <c r="J87" i="14"/>
  <c r="J54" i="14"/>
  <c r="J28" i="14"/>
  <c r="J12" i="14"/>
  <c r="J295" i="15"/>
  <c r="J259" i="15"/>
  <c r="J229" i="15"/>
  <c r="J205" i="15"/>
  <c r="J110" i="15"/>
  <c r="J280" i="16"/>
  <c r="J269" i="16"/>
  <c r="J250" i="16"/>
  <c r="J227" i="16"/>
  <c r="J201" i="16"/>
  <c r="J188" i="16"/>
  <c r="J144" i="16"/>
  <c r="J103" i="16"/>
  <c r="J90" i="16"/>
  <c r="J56" i="16"/>
  <c r="J30" i="16"/>
  <c r="J299" i="17"/>
  <c r="J263" i="17"/>
  <c r="J257" i="17"/>
  <c r="J245" i="17"/>
  <c r="J215" i="17"/>
  <c r="E313" i="17"/>
  <c r="J209" i="17"/>
  <c r="J177" i="17"/>
  <c r="J167" i="17"/>
  <c r="J157" i="17"/>
  <c r="J138" i="17"/>
  <c r="J114" i="17"/>
  <c r="J64" i="17"/>
  <c r="J48" i="17"/>
  <c r="J18" i="17"/>
  <c r="J193" i="19"/>
  <c r="J311" i="17"/>
  <c r="J280" i="17"/>
  <c r="J269" i="17"/>
  <c r="J250" i="17"/>
  <c r="I313" i="17"/>
  <c r="G313" i="17"/>
  <c r="J227" i="17"/>
  <c r="J182" i="17"/>
  <c r="J172" i="17"/>
  <c r="J162" i="17"/>
  <c r="J152" i="17"/>
  <c r="J109" i="17"/>
  <c r="J103" i="17"/>
  <c r="J90" i="17"/>
  <c r="J84" i="17"/>
  <c r="J76" i="17"/>
  <c r="J70" i="17"/>
  <c r="J43" i="17"/>
  <c r="J56" i="18"/>
  <c r="J98" i="18"/>
  <c r="J122" i="18"/>
  <c r="J221" i="18"/>
  <c r="J263" i="18"/>
  <c r="H325" i="19"/>
  <c r="E319" i="20"/>
  <c r="G319" i="20"/>
  <c r="I319" i="20"/>
  <c r="J30" i="20"/>
  <c r="J48" i="20"/>
  <c r="J56" i="20"/>
  <c r="J64" i="20"/>
  <c r="J103" i="20"/>
  <c r="J115" i="20"/>
  <c r="J123" i="20"/>
  <c r="J133" i="20"/>
  <c r="J159" i="20"/>
  <c r="J169" i="20"/>
  <c r="J179" i="20"/>
  <c r="J197" i="20"/>
  <c r="J241" i="20"/>
  <c r="J247" i="20"/>
  <c r="J256" i="20"/>
  <c r="J263" i="20"/>
  <c r="J280" i="20"/>
  <c r="J293" i="20"/>
  <c r="J299" i="20"/>
  <c r="J311" i="20"/>
  <c r="J317" i="20"/>
  <c r="J280" i="19"/>
  <c r="J261" i="19"/>
  <c r="J142" i="19"/>
  <c r="J135" i="19"/>
  <c r="J112" i="19"/>
  <c r="I325" i="19"/>
  <c r="J36" i="19"/>
  <c r="J240" i="19"/>
  <c r="J85" i="19"/>
  <c r="J65" i="19"/>
  <c r="J30" i="19"/>
  <c r="F325" i="19"/>
  <c r="J317" i="19"/>
  <c r="J252" i="19"/>
  <c r="D325" i="19"/>
  <c r="J12" i="19"/>
  <c r="E325" i="19"/>
  <c r="G325" i="19"/>
  <c r="J43" i="19"/>
  <c r="J12" i="20"/>
  <c r="J107" i="2"/>
  <c r="J101" i="2"/>
  <c r="J191" i="15"/>
  <c r="J140" i="15"/>
  <c r="J99" i="15"/>
  <c r="J87" i="15"/>
  <c r="J54" i="15"/>
  <c r="J28" i="15"/>
  <c r="J12" i="15"/>
  <c r="J311" i="16"/>
  <c r="G313" i="16"/>
  <c r="J197" i="15"/>
  <c r="J184" i="15"/>
  <c r="J128" i="15"/>
  <c r="J118" i="15"/>
  <c r="J94" i="15"/>
  <c r="J73" i="15"/>
  <c r="J34" i="15"/>
  <c r="J22" i="15"/>
  <c r="I313" i="16"/>
  <c r="E313" i="16"/>
  <c r="J301" i="4" l="1"/>
  <c r="J245" i="18"/>
  <c r="J301" i="5"/>
  <c r="J271" i="3"/>
  <c r="J308" i="13"/>
  <c r="J303" i="2"/>
  <c r="J305" i="11"/>
  <c r="K305" i="8"/>
  <c r="J305" i="9"/>
  <c r="J315" i="10"/>
  <c r="J308" i="12"/>
  <c r="J303" i="6"/>
  <c r="J313" i="18"/>
  <c r="J309" i="15"/>
  <c r="J319" i="20"/>
  <c r="J308" i="14"/>
  <c r="J221" i="17"/>
  <c r="D313" i="17"/>
  <c r="J313" i="17" s="1"/>
  <c r="J310" i="1"/>
  <c r="J12" i="7"/>
  <c r="D304" i="7"/>
  <c r="J313" i="16"/>
  <c r="J325" i="19"/>
  <c r="D305" i="7" l="1"/>
  <c r="J304" i="7"/>
</calcChain>
</file>

<file path=xl/sharedStrings.xml><?xml version="1.0" encoding="utf-8"?>
<sst xmlns="http://schemas.openxmlformats.org/spreadsheetml/2006/main" count="6881" uniqueCount="132">
  <si>
    <t>ENTERED JANUARY 26, 1993</t>
  </si>
  <si>
    <t>UNCOLLECTED TAX</t>
  </si>
  <si>
    <t>DECEMBER 1992</t>
  </si>
  <si>
    <t>TWSP.</t>
  </si>
  <si>
    <t>LEVY</t>
  </si>
  <si>
    <t>1992</t>
  </si>
  <si>
    <t>1991</t>
  </si>
  <si>
    <t>1990</t>
  </si>
  <si>
    <t>1989</t>
  </si>
  <si>
    <t>1988</t>
  </si>
  <si>
    <t>TOTAL</t>
  </si>
  <si>
    <t>ADDISON</t>
  </si>
  <si>
    <t>GENERAL</t>
  </si>
  <si>
    <t>AIRPORT</t>
  </si>
  <si>
    <t>::</t>
  </si>
  <si>
    <t>AMENIA</t>
  </si>
  <si>
    <t>ARTHUR</t>
  </si>
  <si>
    <t xml:space="preserve">AYR </t>
  </si>
  <si>
    <t>BARNES</t>
  </si>
  <si>
    <t>BELL</t>
  </si>
  <si>
    <t>BERLIN</t>
  </si>
  <si>
    <t>BUFFALO</t>
  </si>
  <si>
    <t>CASSELTON</t>
  </si>
  <si>
    <t>CLIFTON</t>
  </si>
  <si>
    <t>CORNELL</t>
  </si>
  <si>
    <t>DAVENPORT</t>
  </si>
  <si>
    <t>DOWS</t>
  </si>
  <si>
    <t>DURBIN</t>
  </si>
  <si>
    <t>ELDRED</t>
  </si>
  <si>
    <t>EMPIRE</t>
  </si>
  <si>
    <t>ERIE</t>
  </si>
  <si>
    <t>EVEREST</t>
  </si>
  <si>
    <t>FARGO</t>
  </si>
  <si>
    <t>GARDNER</t>
  </si>
  <si>
    <t>GILL</t>
  </si>
  <si>
    <t>FIRE</t>
  </si>
  <si>
    <t>GUNKLE</t>
  </si>
  <si>
    <t>HARMONY</t>
  </si>
  <si>
    <t>HARWOOD</t>
  </si>
  <si>
    <t>HIGHLAND</t>
  </si>
  <si>
    <t>HILL</t>
  </si>
  <si>
    <t>HOWES</t>
  </si>
  <si>
    <t>HUNTER</t>
  </si>
  <si>
    <t>KINYON</t>
  </si>
  <si>
    <t>LAKE</t>
  </si>
  <si>
    <t>LEONARD</t>
  </si>
  <si>
    <t>CEMETARY</t>
  </si>
  <si>
    <t>MAPLE RIVER</t>
  </si>
  <si>
    <t>MAPLETON</t>
  </si>
  <si>
    <t>NOBLE</t>
  </si>
  <si>
    <t>NORMANNA</t>
  </si>
  <si>
    <t>PAGE</t>
  </si>
  <si>
    <t>PLEASANT</t>
  </si>
  <si>
    <t>PONTIAC</t>
  </si>
  <si>
    <t>RAYMOND</t>
  </si>
  <si>
    <t>REED</t>
  </si>
  <si>
    <t>RICH</t>
  </si>
  <si>
    <t>ROCHESTER</t>
  </si>
  <si>
    <t>RUSH RIVER</t>
  </si>
  <si>
    <t>STANLEY</t>
  </si>
  <si>
    <t>TOWER</t>
  </si>
  <si>
    <t>WALBURG</t>
  </si>
  <si>
    <t>WARREN</t>
  </si>
  <si>
    <t>WATSON</t>
  </si>
  <si>
    <t>WHEATLAND</t>
  </si>
  <si>
    <t>WISER</t>
  </si>
  <si>
    <t>TOTAL TWSP</t>
  </si>
  <si>
    <t>ENTERED JANUARY 11, 1994</t>
  </si>
  <si>
    <t>DECEMBER 1993</t>
  </si>
  <si>
    <t>1993</t>
  </si>
  <si>
    <t xml:space="preserve"> </t>
  </si>
  <si>
    <t>ENTERED DECEMBER 28, 1994</t>
  </si>
  <si>
    <t>AS OF NOVEMBER 30, 1994</t>
  </si>
  <si>
    <t>PARK LEVY</t>
  </si>
  <si>
    <t>ENTERED JANUARY 8, 1996</t>
  </si>
  <si>
    <t>AS OF DECEMBER 31, 1995</t>
  </si>
  <si>
    <t>1995</t>
  </si>
  <si>
    <t>1994</t>
  </si>
  <si>
    <t>SNOW REMOVAL EQUIP</t>
  </si>
  <si>
    <t>ENTERED JANUARY 9, 1997</t>
  </si>
  <si>
    <t>AS OF DECEMBER 31, 1996</t>
  </si>
  <si>
    <t>1996</t>
  </si>
  <si>
    <t>{?}{D}{BRANCH L1}</t>
  </si>
  <si>
    <t>ENTERED JANUARY 1/7/98</t>
  </si>
  <si>
    <t>AS OF DECEMBER 31, 1997</t>
  </si>
  <si>
    <t>ENTERED JANUARY 1/11/99</t>
  </si>
  <si>
    <t>AS OF DECEMBER 31, 1998</t>
  </si>
  <si>
    <t>SNOW REMOVAL EQUIPMENT</t>
  </si>
  <si>
    <t>ENTERED JANUARY 7, 2000</t>
  </si>
  <si>
    <t>AS OF DECEMBER 31, 1999</t>
  </si>
  <si>
    <t>TOWNSHIP</t>
  </si>
  <si>
    <t>AS OF DECEMBER 31, 2000</t>
  </si>
  <si>
    <t>ENTERED JANUARY 5, 2001</t>
  </si>
  <si>
    <t>AS OF DECEMBER 31, 2001</t>
  </si>
  <si>
    <t>ENTERED JANUARY 11,  2002</t>
  </si>
  <si>
    <t>AS OF DECEMBER 31, 2002</t>
  </si>
  <si>
    <t>ENTERED JANUARY 8,  2003</t>
  </si>
  <si>
    <t>Insurance Reserve</t>
  </si>
  <si>
    <t>Snow Removal Equip</t>
  </si>
  <si>
    <t>SNOW REMOVAL EQUP</t>
  </si>
  <si>
    <t>AS OF DECEMBER 31, 2003</t>
  </si>
  <si>
    <t>AS OF DECEMBER 31, 2004</t>
  </si>
  <si>
    <t>AS OF DECEMBER 31, 2005</t>
  </si>
  <si>
    <t>ENTERED JANUARY 4,  2006</t>
  </si>
  <si>
    <t>FARM TO MARKET</t>
  </si>
  <si>
    <t>AS OF DECEMBER 31, 2006</t>
  </si>
  <si>
    <t>AS OF DECEMBER 31, 2007</t>
  </si>
  <si>
    <t>AS OF DECEMBER 31, 2008</t>
  </si>
  <si>
    <t>AS OF DECEMBER 31, 2009</t>
  </si>
  <si>
    <t>SNOW REMOVAL</t>
  </si>
  <si>
    <t>AS OF DECEMBER 31, 2010</t>
  </si>
  <si>
    <t>AS OF DECEMBER 31, 2011</t>
  </si>
  <si>
    <t>INSURANCE RESERVE</t>
  </si>
  <si>
    <t>AS OF DECEMBER 31, 2012</t>
  </si>
  <si>
    <t>SINKING &amp; INTEREST</t>
  </si>
  <si>
    <t>AS OF DECEMBER 31, 2013</t>
  </si>
  <si>
    <t>SHARE OF SPECIALS</t>
  </si>
  <si>
    <t>AS OF DECEMBER 31, 2014</t>
  </si>
  <si>
    <t>AS OF DECEMBER 31, 2015</t>
  </si>
  <si>
    <t>AS OF DECEMBER 31, 2016</t>
  </si>
  <si>
    <t>2016</t>
  </si>
  <si>
    <t>2015</t>
  </si>
  <si>
    <t>2014</t>
  </si>
  <si>
    <t>AS OF DECEMBER 31, 2017</t>
  </si>
  <si>
    <t>2017</t>
  </si>
  <si>
    <t>AS OF DECEMBER 31, 2018</t>
  </si>
  <si>
    <t>2018</t>
  </si>
  <si>
    <t>AS OF DECEMBER 31, 2019</t>
  </si>
  <si>
    <t>AS OF DECEMBER 31, 2020</t>
  </si>
  <si>
    <t>AS OF DECEMBER 31, 2021</t>
  </si>
  <si>
    <t>AS OF DECEMBER 31, 2022</t>
  </si>
  <si>
    <t>AS OF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</si>
</sst>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\(0\)"/>
    <numFmt numFmtId="165" formatCode="0.00_);\(0.00\)"/>
  </numFmts>
  <fonts count="7">
    <font>
      <sz val="12"/>
      <name val="SWISS"/>
    </font>
    <font>
      <b/>
      <sz val="12"/>
      <name val="SWISS"/>
    </font>
    <font>
      <u/>
      <sz val="12"/>
      <name val="SWISS"/>
    </font>
    <font>
      <sz val="12"/>
      <name val="SWISS"/>
    </font>
    <font>
      <b/>
      <u/>
      <sz val="12"/>
      <name val="SWISS"/>
    </font>
    <font>
      <sz val="14"/>
      <name val="SWISS"/>
    </font>
    <font>
      <b/>
      <sz val="14"/>
      <name val="SWISS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4" fontId="0" fillId="0" borderId="0"/>
    <xf numFmtId="0" fontId="3" fillId="0" borderId="0"/>
  </cellStyleXfs>
  <cellXfs count="68">
    <xf numFmtId="0" fontId="0" fillId="0" borderId="0" xfId="0" applyNumberFormat="1" applyProtection="1">
      <protection locked="0"/>
    </xf>
    <xf numFmtId="0" fontId="0" fillId="0" borderId="0" xfId="0" applyNumberFormat="1"/>
    <xf numFmtId="0" fontId="0" fillId="0" borderId="0" xfId="0" applyNumberFormat="1" applyAlignment="1">
      <alignment horizontal="centerContinuous"/>
    </xf>
    <xf numFmtId="0" fontId="1" fillId="0" borderId="0" xfId="0" applyNumberFormat="1" applyFont="1" applyAlignment="1">
      <alignment horizontal="centerContinuous"/>
    </xf>
    <xf numFmtId="0" fontId="2" fillId="0" borderId="0" xfId="0" applyNumberFormat="1" applyFont="1"/>
    <xf numFmtId="0" fontId="2" fillId="0" borderId="0" xfId="0" applyNumberFormat="1" applyFont="1" applyAlignment="1">
      <alignment horizontal="centerContinuous"/>
    </xf>
    <xf numFmtId="0" fontId="2" fillId="0" borderId="0" xfId="0" applyNumberFormat="1" applyFont="1" applyAlignment="1">
      <alignment horizontal="center"/>
    </xf>
    <xf numFmtId="4" fontId="0" fillId="0" borderId="0" xfId="0"/>
    <xf numFmtId="0" fontId="3" fillId="0" borderId="0" xfId="1"/>
    <xf numFmtId="0" fontId="3" fillId="0" borderId="0" xfId="1" applyAlignment="1">
      <alignment horizontal="centerContinuous"/>
    </xf>
    <xf numFmtId="0" fontId="3" fillId="0" borderId="0" xfId="1" applyProtection="1">
      <protection locked="0"/>
    </xf>
    <xf numFmtId="0" fontId="1" fillId="0" borderId="0" xfId="1" applyFont="1" applyAlignment="1">
      <alignment horizontal="centerContinuous"/>
    </xf>
    <xf numFmtId="0" fontId="2" fillId="0" borderId="0" xfId="1" applyFont="1"/>
    <xf numFmtId="0" fontId="2" fillId="0" borderId="0" xfId="1" applyFont="1" applyAlignment="1">
      <alignment horizontal="centerContinuous"/>
    </xf>
    <xf numFmtId="0" fontId="2" fillId="0" borderId="0" xfId="1" applyFont="1" applyAlignment="1">
      <alignment horizontal="center"/>
    </xf>
    <xf numFmtId="4" fontId="3" fillId="0" borderId="0" xfId="1" applyNumberFormat="1"/>
    <xf numFmtId="4" fontId="2" fillId="0" borderId="0" xfId="1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"/>
    </xf>
    <xf numFmtId="43" fontId="3" fillId="0" borderId="0" xfId="1" applyNumberFormat="1"/>
    <xf numFmtId="43" fontId="3" fillId="0" borderId="0" xfId="1" applyNumberFormat="1" applyAlignment="1">
      <alignment horizontal="centerContinuous"/>
    </xf>
    <xf numFmtId="43" fontId="2" fillId="0" borderId="0" xfId="1" applyNumberFormat="1" applyFont="1" applyAlignment="1">
      <alignment horizontal="centerContinuous"/>
    </xf>
    <xf numFmtId="43" fontId="3" fillId="0" borderId="0" xfId="1" applyNumberFormat="1" applyProtection="1">
      <protection locked="0"/>
    </xf>
    <xf numFmtId="4" fontId="3" fillId="0" borderId="1" xfId="1" applyNumberFormat="1" applyBorder="1"/>
    <xf numFmtId="43" fontId="3" fillId="0" borderId="1" xfId="1" applyNumberFormat="1" applyBorder="1"/>
    <xf numFmtId="2" fontId="3" fillId="0" borderId="0" xfId="1" applyNumberFormat="1"/>
    <xf numFmtId="0" fontId="3" fillId="0" borderId="2" xfId="1" applyBorder="1"/>
    <xf numFmtId="4" fontId="3" fillId="0" borderId="2" xfId="1" applyNumberFormat="1" applyBorder="1"/>
    <xf numFmtId="43" fontId="3" fillId="0" borderId="2" xfId="1" applyNumberFormat="1" applyBorder="1"/>
    <xf numFmtId="4" fontId="3" fillId="0" borderId="3" xfId="1" applyNumberFormat="1" applyBorder="1"/>
    <xf numFmtId="43" fontId="3" fillId="0" borderId="3" xfId="1" applyNumberFormat="1" applyBorder="1"/>
    <xf numFmtId="0" fontId="3" fillId="0" borderId="3" xfId="1" applyBorder="1"/>
    <xf numFmtId="2" fontId="3" fillId="0" borderId="2" xfId="1" applyNumberFormat="1" applyBorder="1"/>
    <xf numFmtId="39" fontId="3" fillId="0" borderId="2" xfId="1" applyNumberFormat="1" applyBorder="1"/>
    <xf numFmtId="39" fontId="3" fillId="0" borderId="0" xfId="1" applyNumberFormat="1"/>
    <xf numFmtId="43" fontId="2" fillId="0" borderId="0" xfId="1" applyNumberFormat="1" applyFont="1"/>
    <xf numFmtId="164" fontId="2" fillId="0" borderId="0" xfId="1" applyNumberFormat="1" applyFont="1" applyAlignment="1">
      <alignment horizontal="center"/>
    </xf>
    <xf numFmtId="0" fontId="0" fillId="0" borderId="0" xfId="1" applyFont="1"/>
    <xf numFmtId="43" fontId="0" fillId="0" borderId="0" xfId="1" applyNumberFormat="1" applyFont="1"/>
    <xf numFmtId="4" fontId="0" fillId="0" borderId="0" xfId="1" applyNumberFormat="1" applyFont="1"/>
    <xf numFmtId="165" fontId="3" fillId="0" borderId="0" xfId="1" applyNumberFormat="1"/>
    <xf numFmtId="165" fontId="3" fillId="0" borderId="2" xfId="1" applyNumberFormat="1" applyBorder="1"/>
    <xf numFmtId="165" fontId="3" fillId="0" borderId="3" xfId="1" applyNumberFormat="1" applyBorder="1"/>
    <xf numFmtId="39" fontId="3" fillId="0" borderId="3" xfId="1" applyNumberFormat="1" applyBorder="1"/>
    <xf numFmtId="39" fontId="3" fillId="0" borderId="1" xfId="1" applyNumberFormat="1" applyBorder="1"/>
    <xf numFmtId="43" fontId="3" fillId="0" borderId="4" xfId="1" applyNumberFormat="1" applyBorder="1"/>
    <xf numFmtId="4" fontId="3" fillId="0" borderId="4" xfId="1" applyNumberFormat="1" applyBorder="1"/>
    <xf numFmtId="43" fontId="0" fillId="0" borderId="1" xfId="1" applyNumberFormat="1" applyFont="1" applyBorder="1"/>
    <xf numFmtId="43" fontId="2" fillId="0" borderId="0" xfId="1" applyNumberFormat="1" applyFont="1" applyAlignment="1">
      <alignment horizontal="center"/>
    </xf>
    <xf numFmtId="43" fontId="0" fillId="0" borderId="2" xfId="1" applyNumberFormat="1" applyFont="1" applyBorder="1"/>
    <xf numFmtId="43" fontId="2" fillId="0" borderId="0" xfId="1" quotePrefix="1" applyNumberFormat="1" applyFont="1" applyAlignment="1">
      <alignment horizontal="center"/>
    </xf>
    <xf numFmtId="43" fontId="2" fillId="0" borderId="0" xfId="1" quotePrefix="1" applyNumberFormat="1" applyFont="1" applyAlignment="1">
      <alignment horizontal="centerContinuous"/>
    </xf>
    <xf numFmtId="0" fontId="5" fillId="0" borderId="0" xfId="1" applyFont="1"/>
    <xf numFmtId="0" fontId="6" fillId="0" borderId="0" xfId="1" applyFont="1" applyAlignment="1">
      <alignment horizontal="centerContinuous"/>
    </xf>
    <xf numFmtId="43" fontId="5" fillId="0" borderId="0" xfId="1" applyNumberFormat="1" applyFont="1" applyAlignment="1">
      <alignment horizontal="centerContinuous"/>
    </xf>
    <xf numFmtId="0" fontId="5" fillId="0" borderId="0" xfId="1" applyFont="1" applyProtection="1">
      <protection locked="0"/>
    </xf>
    <xf numFmtId="0" fontId="1" fillId="0" borderId="0" xfId="1" applyFont="1"/>
    <xf numFmtId="0" fontId="6" fillId="0" borderId="0" xfId="1" applyFont="1"/>
    <xf numFmtId="0" fontId="4" fillId="0" borderId="0" xfId="1" applyFont="1"/>
    <xf numFmtId="0" fontId="1" fillId="0" borderId="0" xfId="1" applyFont="1" applyProtection="1">
      <protection locked="0"/>
    </xf>
    <xf numFmtId="4" fontId="1" fillId="0" borderId="0" xfId="1" applyNumberFormat="1" applyFont="1"/>
    <xf numFmtId="1" fontId="4" fillId="0" borderId="0" xfId="1" quotePrefix="1" applyNumberFormat="1" applyFont="1" applyAlignment="1">
      <alignment horizontal="right"/>
    </xf>
    <xf numFmtId="43" fontId="4" fillId="0" borderId="0" xfId="1" applyNumberFormat="1" applyFont="1" applyAlignment="1">
      <alignment horizontal="right"/>
    </xf>
    <xf numFmtId="0" fontId="1" fillId="0" borderId="1" xfId="1" applyFont="1" applyBorder="1"/>
    <xf numFmtId="1" fontId="1" fillId="0" borderId="1" xfId="1" quotePrefix="1" applyNumberFormat="1" applyFont="1" applyBorder="1" applyAlignment="1">
      <alignment horizontal="right"/>
    </xf>
    <xf numFmtId="43" fontId="1" fillId="0" borderId="1" xfId="1" applyNumberFormat="1" applyFont="1" applyBorder="1" applyAlignment="1">
      <alignment horizontal="right"/>
    </xf>
    <xf numFmtId="0" fontId="1" fillId="0" borderId="1" xfId="1" applyFont="1" applyBorder="1" applyAlignment="1">
      <alignment horizontal="right"/>
    </xf>
  </cellXfs>
  <cellStyles count="2">
    <cellStyle name="Normal" xfId="0" builtinId="0"/>
    <cellStyle name="Normal_1999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310"/>
  <sheetViews>
    <sheetView showOutlineSymbols="0" defaultGridColor="0" colorId="23" zoomScale="75" workbookViewId="0">
      <selection activeCell="G7" sqref="G7"/>
    </sheetView>
  </sheetViews>
  <sheetFormatPr defaultColWidth="9.6640625" defaultRowHeight="15"/>
  <cols>
    <col min="1" max="1" width="9.6640625" customWidth="1"/>
    <col min="2" max="2" width="16.6640625" customWidth="1"/>
    <col min="3" max="3" width="21.6640625" customWidth="1"/>
    <col min="4" max="5" width="11.6640625" customWidth="1"/>
    <col min="6" max="9" width="9.6640625" customWidth="1"/>
    <col min="10" max="10" width="12.6640625" customWidth="1"/>
  </cols>
  <sheetData>
    <row r="1" spans="1:12">
      <c r="A1" s="1" t="s">
        <v>0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</row>
    <row r="2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>
      <c r="A4" s="1"/>
      <c r="B4" s="3"/>
      <c r="C4" s="2"/>
      <c r="D4" s="2"/>
      <c r="E4" s="2"/>
      <c r="F4" s="2"/>
      <c r="G4" s="2"/>
      <c r="H4" s="2"/>
      <c r="I4" s="2"/>
      <c r="J4" s="2"/>
      <c r="K4" s="1"/>
      <c r="L4" s="1"/>
    </row>
    <row r="5" spans="1:12" ht="15.75">
      <c r="A5" s="1"/>
      <c r="B5" s="3"/>
      <c r="C5" s="2"/>
      <c r="D5" s="2"/>
      <c r="E5" s="2"/>
      <c r="F5" s="2"/>
      <c r="G5" s="2"/>
      <c r="H5" s="2"/>
      <c r="I5" s="2"/>
      <c r="J5" s="2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>
      <c r="A7" s="1"/>
      <c r="B7" s="17" t="s">
        <v>90</v>
      </c>
      <c r="C7" s="17" t="s">
        <v>4</v>
      </c>
      <c r="D7" s="18" t="s">
        <v>5</v>
      </c>
      <c r="E7" s="18" t="s">
        <v>6</v>
      </c>
      <c r="F7" s="18" t="s">
        <v>7</v>
      </c>
      <c r="G7" s="18" t="s">
        <v>8</v>
      </c>
      <c r="H7" s="19" t="s">
        <v>9</v>
      </c>
      <c r="I7" s="6"/>
      <c r="J7" s="5" t="s">
        <v>10</v>
      </c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>
        <v>21</v>
      </c>
      <c r="B9" s="1" t="s">
        <v>11</v>
      </c>
      <c r="C9" s="1" t="s">
        <v>12</v>
      </c>
      <c r="D9" s="7">
        <v>8085.41</v>
      </c>
      <c r="E9" s="7">
        <v>476.64</v>
      </c>
      <c r="F9" s="7">
        <v>212.41</v>
      </c>
      <c r="G9" s="7">
        <v>99.31</v>
      </c>
      <c r="H9" s="7">
        <v>100.06</v>
      </c>
      <c r="I9" s="7"/>
      <c r="J9" s="7">
        <f>SUM(D9:H9)</f>
        <v>8973.8299999999981</v>
      </c>
      <c r="K9" s="1"/>
      <c r="L9" s="1"/>
    </row>
    <row r="10" spans="1:12">
      <c r="A10" s="1"/>
      <c r="B10" s="1"/>
      <c r="C10" s="1" t="s">
        <v>13</v>
      </c>
      <c r="D10" s="7">
        <v>148.13999999999999</v>
      </c>
      <c r="E10" s="7">
        <v>9.61</v>
      </c>
      <c r="F10" s="7">
        <v>3.84</v>
      </c>
      <c r="G10" s="7">
        <v>1.82</v>
      </c>
      <c r="H10" s="7">
        <v>1.98</v>
      </c>
      <c r="I10" s="7"/>
      <c r="J10" s="7">
        <f>SUM(D10:H10)</f>
        <v>165.39</v>
      </c>
      <c r="K10" s="1"/>
      <c r="L10" s="1"/>
    </row>
    <row r="11" spans="1:12">
      <c r="A11" s="1"/>
      <c r="B11" s="1"/>
      <c r="C11" s="1" t="s">
        <v>10</v>
      </c>
      <c r="D11" s="7">
        <f>SUM(D9:D10)</f>
        <v>8233.5499999999993</v>
      </c>
      <c r="E11" s="7">
        <f>SUM(E9:E10)</f>
        <v>486.25</v>
      </c>
      <c r="F11" s="7">
        <f>SUM(F9:F10)</f>
        <v>216.25</v>
      </c>
      <c r="G11" s="7">
        <f>SUM(G9:G10)</f>
        <v>101.13</v>
      </c>
      <c r="H11" s="7">
        <f>SUM(H9:H10)</f>
        <v>102.04</v>
      </c>
      <c r="I11" s="7"/>
      <c r="J11" s="7">
        <f>SUM(D11:H11)</f>
        <v>9139.2199999999993</v>
      </c>
      <c r="K11" s="1"/>
      <c r="L11" s="1"/>
    </row>
    <row r="12" spans="1:12">
      <c r="A12" s="1"/>
      <c r="B12" s="1"/>
      <c r="C12" s="1"/>
      <c r="D12" s="7"/>
      <c r="E12" s="7"/>
      <c r="F12" s="7"/>
      <c r="G12" s="7"/>
      <c r="H12" s="7"/>
      <c r="I12" s="7"/>
      <c r="J12" s="7"/>
      <c r="K12" s="1"/>
      <c r="L12" s="1"/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7"/>
      <c r="K13" s="1"/>
      <c r="L13" s="1"/>
    </row>
    <row r="14" spans="1:12">
      <c r="A14" s="1" t="s">
        <v>14</v>
      </c>
      <c r="B14" s="1"/>
      <c r="C14" s="1"/>
      <c r="D14" s="7"/>
      <c r="E14" s="7"/>
      <c r="F14" s="7"/>
      <c r="G14" s="7"/>
      <c r="H14" s="7"/>
      <c r="I14" s="7"/>
      <c r="J14" s="7"/>
      <c r="K14" s="1"/>
      <c r="L14" s="1"/>
    </row>
    <row r="15" spans="1:12">
      <c r="A15" s="1">
        <v>22</v>
      </c>
      <c r="B15" s="1" t="s">
        <v>15</v>
      </c>
      <c r="C15" s="1" t="s">
        <v>12</v>
      </c>
      <c r="D15" s="7">
        <v>5603.18</v>
      </c>
      <c r="E15" s="7">
        <v>0</v>
      </c>
      <c r="F15" s="7">
        <v>0</v>
      </c>
      <c r="G15" s="7">
        <v>0</v>
      </c>
      <c r="H15" s="7">
        <v>0</v>
      </c>
      <c r="I15" s="7"/>
      <c r="J15" s="7">
        <f>SUM(D15:H15)</f>
        <v>5603.18</v>
      </c>
      <c r="K15" s="1"/>
      <c r="L15" s="1"/>
    </row>
    <row r="16" spans="1:12">
      <c r="A16" s="1"/>
      <c r="B16" s="1"/>
      <c r="C16" s="1" t="s">
        <v>13</v>
      </c>
      <c r="D16" s="7">
        <v>252.1</v>
      </c>
      <c r="E16" s="7">
        <v>0</v>
      </c>
      <c r="F16" s="7">
        <v>0</v>
      </c>
      <c r="G16" s="7">
        <v>0</v>
      </c>
      <c r="H16" s="7">
        <v>0</v>
      </c>
      <c r="I16" s="7"/>
      <c r="J16" s="7">
        <f>SUM(D16:H16)</f>
        <v>252.1</v>
      </c>
      <c r="K16" s="1"/>
      <c r="L16" s="1"/>
    </row>
    <row r="17" spans="1:12">
      <c r="A17" s="1"/>
      <c r="B17" s="1"/>
      <c r="C17" s="1" t="s">
        <v>10</v>
      </c>
      <c r="D17" s="7">
        <f>SUM(D15:D16)</f>
        <v>5855.2800000000007</v>
      </c>
      <c r="E17" s="7">
        <f>SUM(E15:E16)</f>
        <v>0</v>
      </c>
      <c r="F17" s="7">
        <f>SUM(F15:F16)</f>
        <v>0</v>
      </c>
      <c r="G17" s="7">
        <f>SUM(G15:G16)</f>
        <v>0</v>
      </c>
      <c r="H17" s="7">
        <f>SUM(H15:H16)</f>
        <v>0</v>
      </c>
      <c r="I17" s="7"/>
      <c r="J17" s="7">
        <f>SUM(D17:H17)</f>
        <v>5855.2800000000007</v>
      </c>
      <c r="K17" s="1"/>
      <c r="L17" s="1"/>
    </row>
    <row r="18" spans="1:12">
      <c r="A18" s="1"/>
      <c r="B18" s="1"/>
      <c r="C18" s="1"/>
      <c r="D18" s="7"/>
      <c r="E18" s="7"/>
      <c r="F18" s="7"/>
      <c r="G18" s="7"/>
      <c r="H18" s="7"/>
      <c r="I18" s="7"/>
      <c r="J18" s="7"/>
      <c r="K18" s="1"/>
      <c r="L18" s="1"/>
    </row>
    <row r="19" spans="1:12">
      <c r="A19" s="1"/>
      <c r="B19" s="1"/>
      <c r="C19" s="1"/>
      <c r="D19" s="7"/>
      <c r="E19" s="7"/>
      <c r="F19" s="7"/>
      <c r="G19" s="7"/>
      <c r="H19" s="7"/>
      <c r="I19" s="7"/>
      <c r="J19" s="7"/>
      <c r="K19" s="1"/>
      <c r="L19" s="1"/>
    </row>
    <row r="20" spans="1:12">
      <c r="A20" s="1" t="s">
        <v>14</v>
      </c>
      <c r="B20" s="1"/>
      <c r="C20" s="1"/>
      <c r="D20" s="7"/>
      <c r="E20" s="7"/>
      <c r="F20" s="7"/>
      <c r="G20" s="7"/>
      <c r="H20" s="7"/>
      <c r="I20" s="7"/>
      <c r="J20" s="7"/>
      <c r="K20" s="1"/>
      <c r="L20" s="1"/>
    </row>
    <row r="21" spans="1:12">
      <c r="A21" s="1">
        <v>23</v>
      </c>
      <c r="B21" s="1" t="s">
        <v>16</v>
      </c>
      <c r="C21" s="1" t="s">
        <v>12</v>
      </c>
      <c r="D21" s="7">
        <v>5079.5200000000004</v>
      </c>
      <c r="E21" s="7">
        <v>783.92</v>
      </c>
      <c r="F21" s="7">
        <v>302.51</v>
      </c>
      <c r="G21" s="7">
        <v>148.25</v>
      </c>
      <c r="H21" s="7">
        <v>0</v>
      </c>
      <c r="I21" s="7"/>
      <c r="J21" s="7">
        <f>SUM(D21:H21)</f>
        <v>6314.2000000000007</v>
      </c>
      <c r="K21" s="1"/>
      <c r="L21" s="1"/>
    </row>
    <row r="22" spans="1:12">
      <c r="A22" s="1"/>
      <c r="B22" s="1"/>
      <c r="C22" s="1" t="s">
        <v>13</v>
      </c>
      <c r="D22" s="7">
        <v>327.48</v>
      </c>
      <c r="E22" s="7">
        <v>73.47</v>
      </c>
      <c r="F22" s="7">
        <v>11.35</v>
      </c>
      <c r="G22" s="7">
        <v>5.62</v>
      </c>
      <c r="H22" s="7">
        <v>0</v>
      </c>
      <c r="I22" s="7"/>
      <c r="J22" s="7">
        <f>SUM(D22:H22)</f>
        <v>417.92000000000007</v>
      </c>
      <c r="K22" s="1"/>
      <c r="L22" s="1"/>
    </row>
    <row r="23" spans="1:12">
      <c r="A23" s="1"/>
      <c r="B23" s="1"/>
      <c r="C23" s="1" t="s">
        <v>10</v>
      </c>
      <c r="D23" s="7">
        <f>SUM(D21:D22)</f>
        <v>5407</v>
      </c>
      <c r="E23" s="7">
        <f>SUM(E21:E22)</f>
        <v>857.39</v>
      </c>
      <c r="F23" s="7">
        <f>SUM(F21:F22)</f>
        <v>313.86</v>
      </c>
      <c r="G23" s="7">
        <f>SUM(G21:G22)</f>
        <v>153.87</v>
      </c>
      <c r="H23" s="7">
        <f>SUM(H21:H22)</f>
        <v>0</v>
      </c>
      <c r="I23" s="7"/>
      <c r="J23" s="7">
        <f>SUM(D23:H23)</f>
        <v>6732.12</v>
      </c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7"/>
      <c r="K24" s="1"/>
      <c r="L24" s="1"/>
    </row>
    <row r="25" spans="1:12">
      <c r="A25" s="1"/>
      <c r="B25" s="1"/>
      <c r="C25" s="1"/>
      <c r="D25" s="7"/>
      <c r="E25" s="7"/>
      <c r="F25" s="7"/>
      <c r="G25" s="7"/>
      <c r="H25" s="7"/>
      <c r="I25" s="7"/>
      <c r="J25" s="7"/>
      <c r="K25" s="1"/>
      <c r="L25" s="1"/>
    </row>
    <row r="26" spans="1:12">
      <c r="A26" s="1" t="s">
        <v>14</v>
      </c>
      <c r="B26" s="1"/>
      <c r="C26" s="1"/>
      <c r="D26" s="7"/>
      <c r="E26" s="7"/>
      <c r="F26" s="7"/>
      <c r="G26" s="7"/>
      <c r="H26" s="7"/>
      <c r="I26" s="7"/>
      <c r="J26" s="7"/>
      <c r="K26" s="1"/>
      <c r="L26" s="1"/>
    </row>
    <row r="27" spans="1:12">
      <c r="A27" s="1">
        <v>24</v>
      </c>
      <c r="B27" s="1" t="s">
        <v>17</v>
      </c>
      <c r="C27" s="1" t="s">
        <v>12</v>
      </c>
      <c r="D27" s="7">
        <v>3360.58</v>
      </c>
      <c r="E27" s="7">
        <v>140.4</v>
      </c>
      <c r="F27" s="7">
        <v>0</v>
      </c>
      <c r="G27" s="7">
        <v>0</v>
      </c>
      <c r="H27" s="7">
        <v>0</v>
      </c>
      <c r="I27" s="7"/>
      <c r="J27" s="7">
        <f>SUM(D27:H27)</f>
        <v>3500.98</v>
      </c>
      <c r="K27" s="1"/>
      <c r="L27" s="1"/>
    </row>
    <row r="28" spans="1:12">
      <c r="A28" s="1"/>
      <c r="B28" s="1"/>
      <c r="C28" s="1"/>
      <c r="D28" s="7"/>
      <c r="E28" s="7"/>
      <c r="F28" s="7"/>
      <c r="G28" s="7"/>
      <c r="H28" s="7"/>
      <c r="I28" s="7"/>
      <c r="J28" s="7"/>
      <c r="K28" s="1"/>
      <c r="L28" s="1"/>
    </row>
    <row r="29" spans="1:12">
      <c r="A29" s="1"/>
      <c r="B29" s="1"/>
      <c r="C29" s="1" t="s">
        <v>10</v>
      </c>
      <c r="D29" s="7">
        <f>SUM(D27:D28)</f>
        <v>3360.58</v>
      </c>
      <c r="E29" s="7">
        <f>SUM(E27:E28)</f>
        <v>140.4</v>
      </c>
      <c r="F29" s="7">
        <f>SUM(F27:F28)</f>
        <v>0</v>
      </c>
      <c r="G29" s="7">
        <f>SUM(G27:G28)</f>
        <v>0</v>
      </c>
      <c r="H29" s="7">
        <f>SUM(H27:H28)</f>
        <v>0</v>
      </c>
      <c r="I29" s="7"/>
      <c r="J29" s="7">
        <f>SUM(D29:H29)</f>
        <v>3500.98</v>
      </c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7"/>
      <c r="K30" s="1"/>
      <c r="L30" s="1"/>
    </row>
    <row r="31" spans="1:12">
      <c r="A31" s="1"/>
      <c r="B31" s="1"/>
      <c r="C31" s="1"/>
      <c r="D31" s="7"/>
      <c r="E31" s="7"/>
      <c r="F31" s="7"/>
      <c r="G31" s="7"/>
      <c r="H31" s="7"/>
      <c r="I31" s="7"/>
      <c r="J31" s="7"/>
      <c r="K31" s="1"/>
      <c r="L31" s="1"/>
    </row>
    <row r="32" spans="1:12">
      <c r="A32" s="1" t="s">
        <v>14</v>
      </c>
      <c r="B32" s="1"/>
      <c r="C32" s="1"/>
      <c r="D32" s="7"/>
      <c r="E32" s="7"/>
      <c r="F32" s="7"/>
      <c r="G32" s="7"/>
      <c r="H32" s="7"/>
      <c r="I32" s="7"/>
      <c r="J32" s="7"/>
      <c r="K32" s="1"/>
      <c r="L32" s="1"/>
    </row>
    <row r="33" spans="1:12">
      <c r="A33" s="1">
        <v>25</v>
      </c>
      <c r="B33" s="1" t="s">
        <v>18</v>
      </c>
      <c r="C33" s="1" t="s">
        <v>12</v>
      </c>
      <c r="D33" s="7">
        <v>16051.92</v>
      </c>
      <c r="E33" s="7">
        <v>414.86</v>
      </c>
      <c r="F33" s="7">
        <v>333.25</v>
      </c>
      <c r="G33" s="7">
        <v>11.49</v>
      </c>
      <c r="H33" s="7">
        <v>10.46</v>
      </c>
      <c r="I33" s="7"/>
      <c r="J33" s="7">
        <f>SUM(D33:H33)</f>
        <v>16821.98</v>
      </c>
      <c r="K33" s="1"/>
      <c r="L33" s="1"/>
    </row>
    <row r="34" spans="1:12">
      <c r="A34" s="1"/>
      <c r="B34" s="1"/>
      <c r="C34" s="1"/>
      <c r="D34" s="7"/>
      <c r="E34" s="7"/>
      <c r="F34" s="7"/>
      <c r="G34" s="7"/>
      <c r="H34" s="7"/>
      <c r="I34" s="7"/>
      <c r="J34" s="7"/>
      <c r="K34" s="1"/>
      <c r="L34" s="1"/>
    </row>
    <row r="35" spans="1:12">
      <c r="A35" s="1"/>
      <c r="B35" s="1"/>
      <c r="C35" s="1" t="s">
        <v>10</v>
      </c>
      <c r="D35" s="1">
        <f>SUM(D33:D34)</f>
        <v>16051.92</v>
      </c>
      <c r="E35" s="1">
        <f>SUM(E33:E34)</f>
        <v>414.86</v>
      </c>
      <c r="F35" s="1">
        <f>SUM(F33:F34)</f>
        <v>333.25</v>
      </c>
      <c r="G35" s="1">
        <f>SUM(G33:G34)</f>
        <v>11.49</v>
      </c>
      <c r="H35" s="1">
        <f>SUM(H33:H34)</f>
        <v>10.46</v>
      </c>
      <c r="I35" s="1"/>
      <c r="J35" s="7">
        <f>SUM(D35:H35)</f>
        <v>16821.98</v>
      </c>
      <c r="K35" s="1"/>
      <c r="L35" s="1"/>
    </row>
    <row r="36" spans="1:12">
      <c r="A36" s="1"/>
      <c r="B36" s="1"/>
      <c r="C36" s="1"/>
      <c r="D36" s="7"/>
      <c r="E36" s="7"/>
      <c r="F36" s="7"/>
      <c r="G36" s="7"/>
      <c r="H36" s="7"/>
      <c r="I36" s="7"/>
      <c r="J36" s="7"/>
      <c r="K36" s="1"/>
      <c r="L36" s="1"/>
    </row>
    <row r="37" spans="1:12">
      <c r="A37" s="1"/>
      <c r="B37" s="1"/>
      <c r="C37" s="1"/>
      <c r="D37" s="7"/>
      <c r="E37" s="7"/>
      <c r="F37" s="7"/>
      <c r="G37" s="7"/>
      <c r="H37" s="7"/>
      <c r="I37" s="7"/>
      <c r="J37" s="7"/>
      <c r="K37" s="1"/>
      <c r="L37" s="1"/>
    </row>
    <row r="38" spans="1:12">
      <c r="A38" s="1" t="s">
        <v>14</v>
      </c>
      <c r="B38" s="1"/>
      <c r="C38" s="1"/>
      <c r="D38" s="7"/>
      <c r="E38" s="7"/>
      <c r="F38" s="7"/>
      <c r="G38" s="7"/>
      <c r="H38" s="7"/>
      <c r="I38" s="7"/>
      <c r="J38" s="7"/>
      <c r="K38" s="1"/>
      <c r="L38" s="1"/>
    </row>
    <row r="39" spans="1:12">
      <c r="A39" s="1">
        <v>26</v>
      </c>
      <c r="B39" s="1" t="s">
        <v>19</v>
      </c>
      <c r="C39" s="1" t="s">
        <v>12</v>
      </c>
      <c r="D39" s="7">
        <v>4339.04</v>
      </c>
      <c r="E39" s="7">
        <v>82.74</v>
      </c>
      <c r="F39" s="7">
        <v>72.84</v>
      </c>
      <c r="G39" s="7">
        <v>72.84</v>
      </c>
      <c r="H39" s="7">
        <v>0</v>
      </c>
      <c r="I39" s="7"/>
      <c r="J39" s="7">
        <f>SUM(D39:H39)</f>
        <v>4567.46</v>
      </c>
      <c r="K39" s="1"/>
      <c r="L39" s="1"/>
    </row>
    <row r="40" spans="1:12">
      <c r="A40" s="1"/>
      <c r="B40" s="1"/>
      <c r="C40" s="1" t="s">
        <v>13</v>
      </c>
      <c r="D40" s="7">
        <v>110.99</v>
      </c>
      <c r="E40" s="7">
        <v>2.0099999999999998</v>
      </c>
      <c r="F40" s="7">
        <v>1.85</v>
      </c>
      <c r="G40" s="7">
        <v>1.84</v>
      </c>
      <c r="H40" s="7">
        <v>0</v>
      </c>
      <c r="I40" s="7"/>
      <c r="J40" s="7">
        <f>SUM(D40:H40)</f>
        <v>116.69</v>
      </c>
      <c r="K40" s="1"/>
      <c r="L40" s="1"/>
    </row>
    <row r="41" spans="1:12">
      <c r="A41" s="1"/>
      <c r="B41" s="1"/>
      <c r="C41" s="1" t="s">
        <v>10</v>
      </c>
      <c r="D41" s="7">
        <f>SUM(D39:D40)</f>
        <v>4450.03</v>
      </c>
      <c r="E41" s="7">
        <f>SUM(E39:E40)</f>
        <v>84.75</v>
      </c>
      <c r="F41" s="7">
        <f>SUM(F39:F40)</f>
        <v>74.69</v>
      </c>
      <c r="G41" s="7">
        <f>SUM(G39:G40)</f>
        <v>74.680000000000007</v>
      </c>
      <c r="H41" s="7">
        <f>SUM(H39:H40)</f>
        <v>0</v>
      </c>
      <c r="I41" s="7"/>
      <c r="J41" s="7">
        <f>SUM(D41:H41)</f>
        <v>4684.1499999999996</v>
      </c>
      <c r="K41" s="1"/>
      <c r="L41" s="1"/>
    </row>
    <row r="42" spans="1:12">
      <c r="A42" s="1"/>
      <c r="B42" s="1"/>
      <c r="C42" s="1"/>
      <c r="D42" s="7"/>
      <c r="E42" s="7"/>
      <c r="F42" s="7"/>
      <c r="G42" s="7"/>
      <c r="H42" s="7"/>
      <c r="I42" s="7"/>
      <c r="J42" s="7"/>
      <c r="K42" s="1"/>
      <c r="L42" s="1"/>
    </row>
    <row r="43" spans="1:12">
      <c r="A43" s="1"/>
      <c r="B43" s="1"/>
      <c r="C43" s="1"/>
      <c r="D43" s="7"/>
      <c r="E43" s="7"/>
      <c r="F43" s="7"/>
      <c r="G43" s="7"/>
      <c r="H43" s="7"/>
      <c r="I43" s="7"/>
      <c r="J43" s="7"/>
      <c r="K43" s="1"/>
      <c r="L43" s="1"/>
    </row>
    <row r="44" spans="1:12">
      <c r="A44" s="1" t="s">
        <v>14</v>
      </c>
      <c r="B44" s="1"/>
      <c r="C44" s="1"/>
      <c r="D44" s="7"/>
      <c r="E44" s="7"/>
      <c r="F44" s="7"/>
      <c r="G44" s="7"/>
      <c r="H44" s="7"/>
      <c r="I44" s="7"/>
      <c r="J44" s="7"/>
      <c r="K44" s="1"/>
      <c r="L44" s="1"/>
    </row>
    <row r="45" spans="1:12">
      <c r="A45" s="1">
        <v>27</v>
      </c>
      <c r="B45" s="1" t="s">
        <v>20</v>
      </c>
      <c r="C45" s="1" t="s">
        <v>12</v>
      </c>
      <c r="D45" s="7">
        <v>6014.09</v>
      </c>
      <c r="E45" s="7">
        <v>190.74</v>
      </c>
      <c r="F45" s="7">
        <v>184.18</v>
      </c>
      <c r="G45" s="7">
        <v>185.22</v>
      </c>
      <c r="H45" s="7">
        <v>186.24</v>
      </c>
      <c r="I45" s="7"/>
      <c r="J45" s="7">
        <f>SUM(D45:H45)</f>
        <v>6760.47</v>
      </c>
      <c r="K45" s="1"/>
      <c r="L45" s="1"/>
    </row>
    <row r="46" spans="1:12">
      <c r="A46" s="1"/>
      <c r="B46" s="1"/>
      <c r="C46" s="1"/>
      <c r="D46" s="7"/>
      <c r="E46" s="7"/>
      <c r="F46" s="7"/>
      <c r="G46" s="7"/>
      <c r="H46" s="7"/>
      <c r="I46" s="7"/>
      <c r="J46" s="7"/>
      <c r="K46" s="1"/>
      <c r="L46" s="1"/>
    </row>
    <row r="47" spans="1:12">
      <c r="A47" s="1"/>
      <c r="B47" s="1"/>
      <c r="C47" s="1" t="s">
        <v>10</v>
      </c>
      <c r="D47" s="1">
        <f>SUM(D45:D46)</f>
        <v>6014.09</v>
      </c>
      <c r="E47" s="1">
        <f>SUM(E45:E46)</f>
        <v>190.74</v>
      </c>
      <c r="F47" s="1">
        <f>SUM(F45:F46)</f>
        <v>184.18</v>
      </c>
      <c r="G47" s="1">
        <f>SUM(G45:G46)</f>
        <v>185.22</v>
      </c>
      <c r="H47" s="1">
        <f>SUM(H45:H46)</f>
        <v>186.24</v>
      </c>
      <c r="I47" s="1"/>
      <c r="J47" s="7">
        <f>SUM(D47:H47)</f>
        <v>6760.47</v>
      </c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7"/>
      <c r="K48" s="1"/>
      <c r="L48" s="1"/>
    </row>
    <row r="49" spans="1:12">
      <c r="A49" s="1"/>
      <c r="B49" s="1"/>
      <c r="C49" s="1"/>
      <c r="D49" s="7"/>
      <c r="E49" s="7"/>
      <c r="F49" s="7"/>
      <c r="G49" s="7"/>
      <c r="H49" s="7"/>
      <c r="I49" s="7"/>
      <c r="J49" s="7"/>
      <c r="K49" s="1"/>
      <c r="L49" s="1"/>
    </row>
    <row r="50" spans="1:12">
      <c r="A50" s="1" t="s">
        <v>14</v>
      </c>
      <c r="B50" s="1"/>
      <c r="C50" s="1"/>
      <c r="D50" s="7"/>
      <c r="E50" s="7"/>
      <c r="F50" s="7"/>
      <c r="G50" s="7"/>
      <c r="H50" s="7"/>
      <c r="I50" s="7"/>
      <c r="J50" s="7"/>
      <c r="K50" s="1"/>
      <c r="L50" s="1"/>
    </row>
    <row r="51" spans="1:12">
      <c r="A51" s="1">
        <v>28</v>
      </c>
      <c r="B51" s="1" t="s">
        <v>21</v>
      </c>
      <c r="C51" s="1" t="s">
        <v>12</v>
      </c>
      <c r="D51" s="7">
        <v>4864.8599999999997</v>
      </c>
      <c r="E51" s="7">
        <v>173.24</v>
      </c>
      <c r="F51" s="7">
        <v>29.31</v>
      </c>
      <c r="G51" s="7">
        <v>0</v>
      </c>
      <c r="H51" s="7">
        <v>0</v>
      </c>
      <c r="I51" s="7"/>
      <c r="J51" s="7">
        <f>SUM(D51:H51)</f>
        <v>5067.41</v>
      </c>
      <c r="K51" s="1"/>
      <c r="L51" s="1"/>
    </row>
    <row r="52" spans="1:12">
      <c r="A52" s="1"/>
      <c r="B52" s="1"/>
      <c r="C52" s="1" t="s">
        <v>13</v>
      </c>
      <c r="D52" s="7">
        <v>167.42</v>
      </c>
      <c r="E52" s="7">
        <v>6.23</v>
      </c>
      <c r="F52" s="7">
        <v>1.01</v>
      </c>
      <c r="G52" s="7">
        <v>0</v>
      </c>
      <c r="H52" s="7">
        <v>0</v>
      </c>
      <c r="I52" s="7"/>
      <c r="J52" s="7">
        <f>SUM(D52:H52)</f>
        <v>174.65999999999997</v>
      </c>
      <c r="K52" s="1"/>
      <c r="L52" s="1"/>
    </row>
    <row r="53" spans="1:12">
      <c r="A53" s="1"/>
      <c r="B53" s="1"/>
      <c r="C53" s="1" t="s">
        <v>10</v>
      </c>
      <c r="D53" s="7">
        <f>SUM(D51:D52)</f>
        <v>5032.28</v>
      </c>
      <c r="E53" s="7">
        <f>SUM(E51:E52)</f>
        <v>179.47</v>
      </c>
      <c r="F53" s="7">
        <f>SUM(F51:F52)</f>
        <v>30.32</v>
      </c>
      <c r="G53" s="7">
        <f>SUM(G51:G52)</f>
        <v>0</v>
      </c>
      <c r="H53" s="7">
        <f>SUM(H51:H52)</f>
        <v>0</v>
      </c>
      <c r="I53" s="7"/>
      <c r="J53" s="7">
        <f>SUM(D53:H53)</f>
        <v>5242.07</v>
      </c>
      <c r="K53" s="1"/>
      <c r="L53" s="1"/>
    </row>
    <row r="54" spans="1:12">
      <c r="A54" s="1"/>
      <c r="B54" s="1"/>
      <c r="C54" s="1"/>
      <c r="D54" s="7"/>
      <c r="E54" s="7"/>
      <c r="F54" s="7"/>
      <c r="G54" s="7"/>
      <c r="H54" s="7"/>
      <c r="I54" s="7"/>
      <c r="J54" s="7"/>
      <c r="K54" s="1"/>
      <c r="L54" s="1"/>
    </row>
    <row r="55" spans="1:12">
      <c r="A55" s="1"/>
      <c r="B55" s="1"/>
      <c r="C55" s="1"/>
      <c r="D55" s="7"/>
      <c r="E55" s="7"/>
      <c r="F55" s="7"/>
      <c r="G55" s="7"/>
      <c r="H55" s="7"/>
      <c r="I55" s="7"/>
      <c r="J55" s="7"/>
      <c r="K55" s="1"/>
      <c r="L55" s="1"/>
    </row>
    <row r="56" spans="1:12">
      <c r="A56" s="1" t="s">
        <v>14</v>
      </c>
      <c r="B56" s="1"/>
      <c r="C56" s="1"/>
      <c r="D56" s="7"/>
      <c r="E56" s="7"/>
      <c r="F56" s="7"/>
      <c r="G56" s="7"/>
      <c r="H56" s="7"/>
      <c r="I56" s="7"/>
      <c r="J56" s="7"/>
      <c r="K56" s="1"/>
      <c r="L56" s="1"/>
    </row>
    <row r="57" spans="1:12">
      <c r="A57" s="1">
        <v>29</v>
      </c>
      <c r="B57" s="1" t="s">
        <v>22</v>
      </c>
      <c r="C57" s="1" t="s">
        <v>12</v>
      </c>
      <c r="D57" s="7">
        <v>9026.48</v>
      </c>
      <c r="E57" s="7">
        <v>111.88</v>
      </c>
      <c r="F57" s="7">
        <v>111.03</v>
      </c>
      <c r="G57" s="7">
        <v>14.46</v>
      </c>
      <c r="H57" s="7">
        <v>0</v>
      </c>
      <c r="I57" s="7"/>
      <c r="J57" s="7">
        <f>SUM(D57:H57)</f>
        <v>9263.8499999999985</v>
      </c>
      <c r="K57" s="1"/>
      <c r="L57" s="1"/>
    </row>
    <row r="58" spans="1:12">
      <c r="A58" s="1"/>
      <c r="B58" s="1"/>
      <c r="C58" s="1" t="s">
        <v>13</v>
      </c>
      <c r="D58" s="7">
        <v>372.3</v>
      </c>
      <c r="E58" s="7">
        <v>10.15</v>
      </c>
      <c r="F58" s="7">
        <v>11.13</v>
      </c>
      <c r="G58" s="7">
        <v>1.45</v>
      </c>
      <c r="H58" s="7">
        <v>0</v>
      </c>
      <c r="I58" s="7"/>
      <c r="J58" s="7">
        <f>SUM(D58:H58)</f>
        <v>395.03</v>
      </c>
      <c r="K58" s="1"/>
      <c r="L58" s="1"/>
    </row>
    <row r="59" spans="1:12">
      <c r="A59" s="1"/>
      <c r="B59" s="1"/>
      <c r="C59" s="1" t="s">
        <v>10</v>
      </c>
      <c r="D59" s="7">
        <f>SUM(D57:D58)</f>
        <v>9398.7799999999988</v>
      </c>
      <c r="E59" s="7">
        <f>SUM(E57:E58)</f>
        <v>122.03</v>
      </c>
      <c r="F59" s="7">
        <f>SUM(F57:F58)</f>
        <v>122.16</v>
      </c>
      <c r="G59" s="7">
        <f>SUM(G57:G58)</f>
        <v>15.91</v>
      </c>
      <c r="H59" s="7">
        <f>SUM(H57:H58)</f>
        <v>0</v>
      </c>
      <c r="I59" s="7"/>
      <c r="J59" s="7">
        <f>SUM(D59:H59)</f>
        <v>9658.8799999999992</v>
      </c>
      <c r="K59" s="1"/>
      <c r="L59" s="1"/>
    </row>
    <row r="60" spans="1:12">
      <c r="A60" s="1"/>
      <c r="B60" s="1"/>
      <c r="C60" s="1"/>
      <c r="D60" s="7"/>
      <c r="E60" s="7"/>
      <c r="F60" s="7"/>
      <c r="G60" s="7"/>
      <c r="H60" s="7"/>
      <c r="I60" s="7"/>
      <c r="J60" s="7"/>
      <c r="K60" s="1"/>
      <c r="L60" s="1"/>
    </row>
    <row r="61" spans="1:12">
      <c r="A61" s="1"/>
      <c r="B61" s="1"/>
      <c r="C61" s="1"/>
      <c r="D61" s="7"/>
      <c r="E61" s="7"/>
      <c r="F61" s="7"/>
      <c r="G61" s="7"/>
      <c r="H61" s="7"/>
      <c r="I61" s="7"/>
      <c r="J61" s="7"/>
      <c r="K61" s="1"/>
      <c r="L61" s="1"/>
    </row>
    <row r="62" spans="1:12">
      <c r="A62" s="1" t="s">
        <v>14</v>
      </c>
      <c r="B62" s="1"/>
      <c r="C62" s="1"/>
      <c r="D62" s="7"/>
      <c r="E62" s="7"/>
      <c r="F62" s="7"/>
      <c r="G62" s="7"/>
      <c r="H62" s="7"/>
      <c r="I62" s="7"/>
      <c r="J62" s="7"/>
      <c r="K62" s="1"/>
      <c r="L62" s="1"/>
    </row>
    <row r="63" spans="1:12">
      <c r="A63" s="1">
        <v>30</v>
      </c>
      <c r="B63" s="1" t="s">
        <v>23</v>
      </c>
      <c r="C63" s="1" t="s">
        <v>12</v>
      </c>
      <c r="D63" s="7">
        <v>3917.09</v>
      </c>
      <c r="E63" s="7">
        <v>0</v>
      </c>
      <c r="F63" s="7">
        <v>0</v>
      </c>
      <c r="G63" s="7">
        <v>0</v>
      </c>
      <c r="H63" s="7">
        <v>0</v>
      </c>
      <c r="I63" s="7"/>
      <c r="J63" s="7">
        <f>SUM(D63:H63)</f>
        <v>3917.09</v>
      </c>
      <c r="K63" s="1"/>
      <c r="L63" s="1"/>
    </row>
    <row r="64" spans="1:12">
      <c r="A64" s="1"/>
      <c r="B64" s="1"/>
      <c r="C64" s="1" t="s">
        <v>13</v>
      </c>
      <c r="D64" s="7">
        <v>188.87</v>
      </c>
      <c r="E64" s="7">
        <v>0</v>
      </c>
      <c r="F64" s="7">
        <v>0</v>
      </c>
      <c r="G64" s="7">
        <v>0</v>
      </c>
      <c r="H64" s="7">
        <v>0</v>
      </c>
      <c r="I64" s="7"/>
      <c r="J64" s="7">
        <f>SUM(D64:H64)</f>
        <v>188.87</v>
      </c>
      <c r="K64" s="1"/>
      <c r="L64" s="1"/>
    </row>
    <row r="65" spans="1:12">
      <c r="A65" s="1"/>
      <c r="B65" s="1"/>
      <c r="C65" s="1" t="s">
        <v>10</v>
      </c>
      <c r="D65" s="7">
        <f>SUM(D63:D64)</f>
        <v>4105.96</v>
      </c>
      <c r="E65" s="7">
        <f>SUM(E63:E64)</f>
        <v>0</v>
      </c>
      <c r="F65" s="7">
        <f>SUM(F63:F64)</f>
        <v>0</v>
      </c>
      <c r="G65" s="7">
        <f>SUM(G63:G64)</f>
        <v>0</v>
      </c>
      <c r="H65" s="7">
        <f>SUM(H63:H64)</f>
        <v>0</v>
      </c>
      <c r="I65" s="7"/>
      <c r="J65" s="7">
        <f>SUM(D65:H65)</f>
        <v>4105.96</v>
      </c>
      <c r="K65" s="1"/>
      <c r="L65" s="1"/>
    </row>
    <row r="66" spans="1:12">
      <c r="A66" s="1"/>
      <c r="B66" s="1"/>
      <c r="C66" s="1"/>
      <c r="D66" s="7"/>
      <c r="E66" s="7"/>
      <c r="F66" s="7"/>
      <c r="G66" s="7"/>
      <c r="H66" s="7"/>
      <c r="I66" s="7"/>
      <c r="J66" s="7"/>
      <c r="K66" s="1"/>
      <c r="L66" s="1"/>
    </row>
    <row r="67" spans="1:12">
      <c r="A67" s="1"/>
      <c r="B67" s="1"/>
      <c r="C67" s="1"/>
      <c r="D67" s="7"/>
      <c r="E67" s="7"/>
      <c r="F67" s="7"/>
      <c r="G67" s="7"/>
      <c r="H67" s="7"/>
      <c r="I67" s="7"/>
      <c r="J67" s="7"/>
      <c r="K67" s="1"/>
      <c r="L67" s="1"/>
    </row>
    <row r="68" spans="1:12">
      <c r="A68" s="1" t="s">
        <v>14</v>
      </c>
      <c r="B68" s="1"/>
      <c r="C68" s="1"/>
      <c r="D68" s="7"/>
      <c r="E68" s="7"/>
      <c r="F68" s="7"/>
      <c r="G68" s="7"/>
      <c r="H68" s="7"/>
      <c r="I68" s="7"/>
      <c r="J68" s="7"/>
      <c r="K68" s="1"/>
      <c r="L68" s="1"/>
    </row>
    <row r="69" spans="1:12">
      <c r="A69" s="1">
        <v>31</v>
      </c>
      <c r="B69" s="1" t="s">
        <v>24</v>
      </c>
      <c r="C69" s="1" t="s">
        <v>12</v>
      </c>
      <c r="D69" s="7">
        <v>1824.5</v>
      </c>
      <c r="E69" s="7">
        <v>178.35</v>
      </c>
      <c r="F69" s="7">
        <v>0</v>
      </c>
      <c r="G69" s="7">
        <v>0</v>
      </c>
      <c r="H69" s="7">
        <v>0</v>
      </c>
      <c r="I69" s="7"/>
      <c r="J69" s="7">
        <f>SUM(D69:H69)</f>
        <v>2002.85</v>
      </c>
      <c r="K69" s="1"/>
      <c r="L69" s="1"/>
    </row>
    <row r="70" spans="1:12">
      <c r="A70" s="1"/>
      <c r="B70" s="1"/>
      <c r="C70" s="1" t="s">
        <v>13</v>
      </c>
      <c r="D70" s="7">
        <v>65.5</v>
      </c>
      <c r="E70" s="7">
        <v>6.26</v>
      </c>
      <c r="F70" s="7">
        <v>0</v>
      </c>
      <c r="G70" s="7">
        <v>0</v>
      </c>
      <c r="H70" s="7">
        <v>0</v>
      </c>
      <c r="I70" s="7"/>
      <c r="J70" s="7">
        <f>SUM(D70:H70)</f>
        <v>71.760000000000005</v>
      </c>
      <c r="K70" s="1"/>
      <c r="L70" s="1"/>
    </row>
    <row r="71" spans="1:12">
      <c r="A71" s="1"/>
      <c r="B71" s="1"/>
      <c r="C71" s="1" t="s">
        <v>10</v>
      </c>
      <c r="D71" s="7">
        <f>SUM(D69:D70)</f>
        <v>1890</v>
      </c>
      <c r="E71" s="7">
        <f>SUM(E69:E70)</f>
        <v>184.60999999999999</v>
      </c>
      <c r="F71" s="7">
        <f>SUM(F69:F70)</f>
        <v>0</v>
      </c>
      <c r="G71" s="7">
        <f>SUM(G69:G70)</f>
        <v>0</v>
      </c>
      <c r="H71" s="7">
        <f>SUM(H69:H70)</f>
        <v>0</v>
      </c>
      <c r="I71" s="7"/>
      <c r="J71" s="7">
        <f>SUM(D71:H71)</f>
        <v>2074.61</v>
      </c>
      <c r="K71" s="1"/>
      <c r="L71" s="1"/>
    </row>
    <row r="72" spans="1:12">
      <c r="A72" s="1"/>
      <c r="B72" s="1"/>
      <c r="C72" s="1"/>
      <c r="D72" s="7"/>
      <c r="E72" s="7"/>
      <c r="F72" s="7"/>
      <c r="G72" s="7"/>
      <c r="H72" s="7"/>
      <c r="I72" s="7"/>
      <c r="J72" s="7"/>
      <c r="K72" s="1"/>
      <c r="L72" s="1"/>
    </row>
    <row r="73" spans="1:12">
      <c r="A73" s="1"/>
      <c r="B73" s="1"/>
      <c r="C73" s="1"/>
      <c r="D73" s="7"/>
      <c r="E73" s="7"/>
      <c r="F73" s="7"/>
      <c r="G73" s="7"/>
      <c r="H73" s="7"/>
      <c r="I73" s="7"/>
      <c r="J73" s="7"/>
      <c r="K73" s="1"/>
      <c r="L73" s="1"/>
    </row>
    <row r="74" spans="1:12">
      <c r="A74" s="1" t="s">
        <v>14</v>
      </c>
      <c r="B74" s="1"/>
      <c r="C74" s="1"/>
      <c r="D74" s="7"/>
      <c r="E74" s="7"/>
      <c r="F74" s="7"/>
      <c r="G74" s="7"/>
      <c r="H74" s="7"/>
      <c r="I74" s="7"/>
      <c r="J74" s="7"/>
      <c r="K74" s="1"/>
      <c r="L74" s="1"/>
    </row>
    <row r="75" spans="1:12">
      <c r="A75" s="1">
        <v>32</v>
      </c>
      <c r="B75" s="1" t="s">
        <v>25</v>
      </c>
      <c r="C75" s="1" t="s">
        <v>12</v>
      </c>
      <c r="D75" s="7">
        <v>5215.09</v>
      </c>
      <c r="E75" s="7">
        <v>45.32</v>
      </c>
      <c r="F75" s="7">
        <v>0</v>
      </c>
      <c r="G75" s="7">
        <v>0</v>
      </c>
      <c r="H75" s="7">
        <v>0</v>
      </c>
      <c r="I75" s="7"/>
      <c r="J75" s="7">
        <f>SUM(D75:H75)</f>
        <v>5260.41</v>
      </c>
      <c r="K75" s="1"/>
      <c r="L75" s="1"/>
    </row>
    <row r="76" spans="1:12">
      <c r="A76" s="1"/>
      <c r="B76" s="1"/>
      <c r="C76" s="1" t="s">
        <v>13</v>
      </c>
      <c r="D76" s="7">
        <v>139.19</v>
      </c>
      <c r="E76" s="7">
        <v>2.14</v>
      </c>
      <c r="F76" s="7">
        <v>0</v>
      </c>
      <c r="G76" s="7">
        <v>0</v>
      </c>
      <c r="H76" s="7">
        <v>0</v>
      </c>
      <c r="I76" s="7"/>
      <c r="J76" s="7">
        <f>SUM(D76:H76)</f>
        <v>141.32999999999998</v>
      </c>
      <c r="K76" s="1"/>
      <c r="L76" s="1"/>
    </row>
    <row r="77" spans="1:12">
      <c r="A77" s="1"/>
      <c r="B77" s="1"/>
      <c r="C77" s="1" t="s">
        <v>10</v>
      </c>
      <c r="D77" s="7">
        <f>SUM(D75:D76)</f>
        <v>5354.28</v>
      </c>
      <c r="E77" s="7">
        <f>SUM(E75:E76)</f>
        <v>47.46</v>
      </c>
      <c r="F77" s="7">
        <f>SUM(F75:F76)</f>
        <v>0</v>
      </c>
      <c r="G77" s="7">
        <f>SUM(G75:G76)</f>
        <v>0</v>
      </c>
      <c r="H77" s="7">
        <f>SUM(H75:H76)</f>
        <v>0</v>
      </c>
      <c r="I77" s="7"/>
      <c r="J77" s="7">
        <f>SUM(D77:H77)</f>
        <v>5401.74</v>
      </c>
      <c r="K77" s="1"/>
      <c r="L77" s="1"/>
    </row>
    <row r="78" spans="1:12">
      <c r="A78" s="1"/>
      <c r="B78" s="1"/>
      <c r="C78" s="1"/>
      <c r="D78" s="1"/>
      <c r="E78" s="1"/>
      <c r="F78" s="1"/>
      <c r="G78" s="1"/>
      <c r="H78" s="1"/>
      <c r="I78" s="1"/>
      <c r="J78" s="7"/>
      <c r="K78" s="1"/>
      <c r="L78" s="1"/>
    </row>
    <row r="79" spans="1:12">
      <c r="A79" s="1"/>
      <c r="B79" s="1"/>
      <c r="C79" s="1"/>
      <c r="D79" s="1"/>
      <c r="E79" s="1"/>
      <c r="F79" s="1"/>
      <c r="G79" s="1"/>
      <c r="H79" s="1"/>
      <c r="I79" s="1"/>
      <c r="J79" s="7"/>
      <c r="K79" s="1"/>
      <c r="L79" s="1"/>
    </row>
    <row r="80" spans="1:12">
      <c r="A80" s="1" t="s">
        <v>14</v>
      </c>
      <c r="B80" s="1"/>
      <c r="C80" s="1"/>
      <c r="D80" s="1"/>
      <c r="E80" s="1"/>
      <c r="F80" s="1"/>
      <c r="G80" s="1"/>
      <c r="H80" s="1"/>
      <c r="I80" s="1"/>
      <c r="J80" s="7"/>
      <c r="K80" s="1"/>
      <c r="L80" s="1"/>
    </row>
    <row r="81" spans="1:12">
      <c r="A81" s="1">
        <v>33</v>
      </c>
      <c r="B81" s="1" t="s">
        <v>26</v>
      </c>
      <c r="C81" s="1" t="s">
        <v>12</v>
      </c>
      <c r="D81" s="7">
        <v>7587.75</v>
      </c>
      <c r="E81" s="7">
        <v>351</v>
      </c>
      <c r="F81" s="7">
        <v>163.16999999999999</v>
      </c>
      <c r="G81" s="7">
        <v>75.7</v>
      </c>
      <c r="H81" s="7">
        <v>74.38</v>
      </c>
      <c r="I81" s="7"/>
      <c r="J81" s="7">
        <f>SUM(D81:H81)</f>
        <v>8252</v>
      </c>
      <c r="K81" s="1"/>
      <c r="L81" s="1"/>
    </row>
    <row r="82" spans="1:12">
      <c r="A82" s="1"/>
      <c r="B82" s="1"/>
      <c r="C82" s="1" t="s">
        <v>13</v>
      </c>
      <c r="D82" s="7">
        <v>101.74</v>
      </c>
      <c r="E82" s="7">
        <v>5.17</v>
      </c>
      <c r="F82" s="7">
        <v>2.62</v>
      </c>
      <c r="G82" s="7">
        <v>1.1499999999999999</v>
      </c>
      <c r="H82" s="7">
        <v>2.35</v>
      </c>
      <c r="I82" s="7"/>
      <c r="J82" s="7">
        <f>SUM(D82:H82)</f>
        <v>113.03</v>
      </c>
      <c r="K82" s="1"/>
      <c r="L82" s="1"/>
    </row>
    <row r="83" spans="1:12">
      <c r="A83" s="1"/>
      <c r="B83" s="1"/>
      <c r="C83" s="1" t="s">
        <v>10</v>
      </c>
      <c r="D83" s="7">
        <f>SUM(D81:D82)</f>
        <v>7689.49</v>
      </c>
      <c r="E83" s="7">
        <f>SUM(E81:E82)</f>
        <v>356.17</v>
      </c>
      <c r="F83" s="7">
        <f>SUM(F81:F82)</f>
        <v>165.79</v>
      </c>
      <c r="G83" s="7">
        <f>SUM(G81:G82)</f>
        <v>76.850000000000009</v>
      </c>
      <c r="H83" s="7">
        <f>SUM(H81:H82)</f>
        <v>76.72999999999999</v>
      </c>
      <c r="I83" s="7"/>
      <c r="J83" s="7">
        <f>SUM(D83:H83)</f>
        <v>8365.0300000000007</v>
      </c>
      <c r="K83" s="1"/>
      <c r="L83" s="1"/>
    </row>
    <row r="84" spans="1:12">
      <c r="A84" s="1"/>
      <c r="B84" s="1"/>
      <c r="C84" s="1"/>
      <c r="D84" s="7"/>
      <c r="E84" s="7"/>
      <c r="F84" s="7"/>
      <c r="G84" s="7"/>
      <c r="H84" s="7"/>
      <c r="I84" s="7"/>
      <c r="J84" s="7"/>
      <c r="K84" s="1"/>
      <c r="L84" s="1"/>
    </row>
    <row r="85" spans="1:12">
      <c r="A85" s="1"/>
      <c r="B85" s="1"/>
      <c r="C85" s="1"/>
      <c r="D85" s="7"/>
      <c r="E85" s="7"/>
      <c r="F85" s="7"/>
      <c r="G85" s="7"/>
      <c r="H85" s="7"/>
      <c r="I85" s="7"/>
      <c r="J85" s="7"/>
      <c r="K85" s="1"/>
      <c r="L85" s="1"/>
    </row>
    <row r="86" spans="1:12">
      <c r="A86" s="1" t="s">
        <v>14</v>
      </c>
      <c r="B86" s="1"/>
      <c r="C86" s="1"/>
      <c r="D86" s="7"/>
      <c r="E86" s="7"/>
      <c r="F86" s="7"/>
      <c r="G86" s="7"/>
      <c r="H86" s="7"/>
      <c r="I86" s="7"/>
      <c r="J86" s="7"/>
      <c r="K86" s="1"/>
      <c r="L86" s="1"/>
    </row>
    <row r="87" spans="1:12">
      <c r="A87" s="1">
        <v>34</v>
      </c>
      <c r="B87" s="1" t="s">
        <v>27</v>
      </c>
      <c r="C87" s="1" t="s">
        <v>12</v>
      </c>
      <c r="D87" s="7">
        <v>5726.28</v>
      </c>
      <c r="E87" s="7">
        <v>251.23</v>
      </c>
      <c r="F87" s="7">
        <v>12.63</v>
      </c>
      <c r="G87" s="7">
        <v>0</v>
      </c>
      <c r="H87" s="7">
        <v>0</v>
      </c>
      <c r="I87" s="7"/>
      <c r="J87" s="7">
        <f>SUM(D87:H87)</f>
        <v>5990.1399999999994</v>
      </c>
      <c r="K87" s="1"/>
      <c r="L87" s="1"/>
    </row>
    <row r="88" spans="1:12">
      <c r="A88" s="1"/>
      <c r="B88" s="1"/>
      <c r="C88" s="1" t="s">
        <v>13</v>
      </c>
      <c r="D88" s="7">
        <v>295.23</v>
      </c>
      <c r="E88" s="7">
        <v>25.07</v>
      </c>
      <c r="F88" s="7">
        <v>0.87</v>
      </c>
      <c r="G88" s="7">
        <v>0</v>
      </c>
      <c r="H88" s="7">
        <v>0</v>
      </c>
      <c r="I88" s="7"/>
      <c r="J88" s="7">
        <f>SUM(D88:H88)</f>
        <v>321.17</v>
      </c>
      <c r="K88" s="1"/>
      <c r="L88" s="1"/>
    </row>
    <row r="89" spans="1:12">
      <c r="A89" s="1"/>
      <c r="B89" s="1"/>
      <c r="C89" s="1" t="s">
        <v>10</v>
      </c>
      <c r="D89" s="7">
        <f>SUM(D87:D88)</f>
        <v>6021.51</v>
      </c>
      <c r="E89" s="7">
        <f>SUM(E87:E88)</f>
        <v>276.3</v>
      </c>
      <c r="F89" s="7">
        <f>SUM(F87:F88)</f>
        <v>13.5</v>
      </c>
      <c r="G89" s="7">
        <f>SUM(G87:G88)</f>
        <v>0</v>
      </c>
      <c r="H89" s="7">
        <f>SUM(H87:H88)</f>
        <v>0</v>
      </c>
      <c r="I89" s="7"/>
      <c r="J89" s="7">
        <f>SUM(D89:H89)</f>
        <v>6311.31</v>
      </c>
      <c r="K89" s="1"/>
      <c r="L89" s="1"/>
    </row>
    <row r="90" spans="1:12">
      <c r="A90" s="1"/>
      <c r="B90" s="1"/>
      <c r="C90" s="1"/>
      <c r="D90" s="7"/>
      <c r="E90" s="7"/>
      <c r="F90" s="7"/>
      <c r="G90" s="7"/>
      <c r="H90" s="7"/>
      <c r="I90" s="7"/>
      <c r="J90" s="7"/>
      <c r="K90" s="1"/>
      <c r="L90" s="1"/>
    </row>
    <row r="91" spans="1:12">
      <c r="A91" s="1"/>
      <c r="B91" s="1"/>
      <c r="C91" s="1"/>
      <c r="D91" s="7"/>
      <c r="E91" s="7"/>
      <c r="F91" s="7"/>
      <c r="G91" s="7"/>
      <c r="H91" s="7"/>
      <c r="I91" s="7"/>
      <c r="J91" s="7"/>
      <c r="K91" s="1"/>
      <c r="L91" s="1"/>
    </row>
    <row r="92" spans="1:12">
      <c r="A92" s="1" t="s">
        <v>14</v>
      </c>
      <c r="B92" s="1"/>
      <c r="C92" s="1"/>
      <c r="D92" s="7"/>
      <c r="E92" s="7"/>
      <c r="F92" s="7"/>
      <c r="G92" s="7"/>
      <c r="H92" s="7"/>
      <c r="I92" s="7"/>
      <c r="J92" s="7"/>
      <c r="K92" s="1"/>
      <c r="L92" s="1"/>
    </row>
    <row r="93" spans="1:12">
      <c r="A93" s="1">
        <v>35</v>
      </c>
      <c r="B93" s="1" t="s">
        <v>28</v>
      </c>
      <c r="C93" s="1" t="s">
        <v>12</v>
      </c>
      <c r="D93" s="7">
        <v>5877.94</v>
      </c>
      <c r="E93" s="7">
        <v>203.52</v>
      </c>
      <c r="F93" s="7">
        <v>202.63</v>
      </c>
      <c r="G93" s="7">
        <v>39.58</v>
      </c>
      <c r="H93" s="7">
        <v>6.73</v>
      </c>
      <c r="I93" s="7"/>
      <c r="J93" s="7">
        <f>SUM(D93:H93)</f>
        <v>6330.4</v>
      </c>
      <c r="K93" s="1"/>
      <c r="L93" s="1"/>
    </row>
    <row r="94" spans="1:12">
      <c r="A94" s="1"/>
      <c r="B94" s="1"/>
      <c r="C94" s="1"/>
      <c r="D94" s="7"/>
      <c r="E94" s="7"/>
      <c r="F94" s="7"/>
      <c r="G94" s="7"/>
      <c r="H94" s="7"/>
      <c r="I94" s="7"/>
      <c r="J94" s="7"/>
      <c r="K94" s="1"/>
      <c r="L94" s="1"/>
    </row>
    <row r="95" spans="1:12">
      <c r="A95" s="1"/>
      <c r="B95" s="1"/>
      <c r="C95" s="1" t="s">
        <v>10</v>
      </c>
      <c r="D95" s="7">
        <f>SUM(D93:D94)</f>
        <v>5877.94</v>
      </c>
      <c r="E95" s="7">
        <f>SUM(E93:E94)</f>
        <v>203.52</v>
      </c>
      <c r="F95" s="7">
        <f>SUM(F93:F94)</f>
        <v>202.63</v>
      </c>
      <c r="G95" s="7">
        <f>SUM(G93:G94)</f>
        <v>39.58</v>
      </c>
      <c r="H95" s="7">
        <f>SUM(H93:H94)</f>
        <v>6.73</v>
      </c>
      <c r="I95" s="7"/>
      <c r="J95" s="7">
        <f>SUM(D95:H95)</f>
        <v>6330.4</v>
      </c>
      <c r="K95" s="1"/>
      <c r="L95" s="1"/>
    </row>
    <row r="96" spans="1:12">
      <c r="A96" s="1"/>
      <c r="B96" s="1"/>
      <c r="C96" s="1"/>
      <c r="D96" s="7"/>
      <c r="E96" s="7"/>
      <c r="F96" s="7"/>
      <c r="G96" s="7"/>
      <c r="H96" s="7"/>
      <c r="I96" s="7"/>
      <c r="J96" s="7"/>
      <c r="K96" s="1"/>
      <c r="L96" s="1"/>
    </row>
    <row r="97" spans="1:12">
      <c r="A97" s="1"/>
      <c r="B97" s="1"/>
      <c r="C97" s="1"/>
      <c r="D97" s="7"/>
      <c r="E97" s="7"/>
      <c r="F97" s="7"/>
      <c r="G97" s="7"/>
      <c r="H97" s="7"/>
      <c r="I97" s="7"/>
      <c r="J97" s="7"/>
      <c r="K97" s="1"/>
      <c r="L97" s="1"/>
    </row>
    <row r="98" spans="1:12">
      <c r="A98" s="1" t="s">
        <v>14</v>
      </c>
      <c r="B98" s="1"/>
      <c r="C98" s="1"/>
      <c r="D98" s="7"/>
      <c r="E98" s="7"/>
      <c r="F98" s="7"/>
      <c r="G98" s="7"/>
      <c r="H98" s="7"/>
      <c r="I98" s="7"/>
      <c r="J98" s="7"/>
      <c r="K98" s="1"/>
      <c r="L98" s="1"/>
    </row>
    <row r="99" spans="1:12">
      <c r="A99" s="1">
        <v>36</v>
      </c>
      <c r="B99" s="1" t="s">
        <v>29</v>
      </c>
      <c r="C99" s="1" t="s">
        <v>12</v>
      </c>
      <c r="D99" s="7">
        <v>5149.28</v>
      </c>
      <c r="E99" s="7">
        <v>444.82</v>
      </c>
      <c r="F99" s="7">
        <v>136.72</v>
      </c>
      <c r="G99" s="7">
        <v>130.29</v>
      </c>
      <c r="H99" s="7">
        <v>130.74</v>
      </c>
      <c r="I99" s="7"/>
      <c r="J99" s="7">
        <f>SUM(D99:H99)</f>
        <v>5991.8499999999995</v>
      </c>
      <c r="K99" s="1"/>
      <c r="L99" s="1"/>
    </row>
    <row r="100" spans="1:12">
      <c r="A100" s="1"/>
      <c r="B100" s="1"/>
      <c r="C100" s="1" t="s">
        <v>13</v>
      </c>
      <c r="D100" s="7">
        <v>193.19</v>
      </c>
      <c r="E100" s="7">
        <v>36.67</v>
      </c>
      <c r="F100" s="7">
        <v>11.74</v>
      </c>
      <c r="G100" s="7">
        <v>12.17</v>
      </c>
      <c r="H100" s="7">
        <v>12.21</v>
      </c>
      <c r="I100" s="7"/>
      <c r="J100" s="7">
        <f>SUM(D100:H100)</f>
        <v>265.98</v>
      </c>
      <c r="K100" s="1"/>
      <c r="L100" s="1"/>
    </row>
    <row r="101" spans="1:12">
      <c r="A101" s="1"/>
      <c r="B101" s="1"/>
      <c r="C101" s="1" t="s">
        <v>10</v>
      </c>
      <c r="D101" s="7">
        <f>SUM(D99:D100)</f>
        <v>5342.4699999999993</v>
      </c>
      <c r="E101" s="7">
        <f>SUM(E99:E100)</f>
        <v>481.49</v>
      </c>
      <c r="F101" s="7">
        <f>SUM(F99:F100)</f>
        <v>148.46</v>
      </c>
      <c r="G101" s="7">
        <f>SUM(G99:G100)</f>
        <v>142.45999999999998</v>
      </c>
      <c r="H101" s="7">
        <f>SUM(H99:H100)</f>
        <v>142.95000000000002</v>
      </c>
      <c r="I101" s="7"/>
      <c r="J101" s="7">
        <f>SUM(D101:H101)</f>
        <v>6257.829999999999</v>
      </c>
      <c r="K101" s="1"/>
      <c r="L101" s="1"/>
    </row>
    <row r="102" spans="1:12">
      <c r="A102" s="1"/>
      <c r="B102" s="1"/>
      <c r="C102" s="1"/>
      <c r="D102" s="7"/>
      <c r="E102" s="7"/>
      <c r="F102" s="7"/>
      <c r="G102" s="7"/>
      <c r="H102" s="7"/>
      <c r="I102" s="7"/>
      <c r="J102" s="7"/>
      <c r="K102" s="1"/>
      <c r="L102" s="1"/>
    </row>
    <row r="103" spans="1:12">
      <c r="A103" s="1"/>
      <c r="B103" s="1"/>
      <c r="C103" s="1"/>
      <c r="D103" s="7"/>
      <c r="E103" s="7"/>
      <c r="F103" s="7"/>
      <c r="G103" s="7"/>
      <c r="H103" s="7"/>
      <c r="I103" s="7"/>
      <c r="J103" s="7"/>
      <c r="K103" s="1"/>
      <c r="L103" s="1"/>
    </row>
    <row r="104" spans="1:12">
      <c r="A104" s="1" t="s">
        <v>14</v>
      </c>
      <c r="B104" s="1"/>
      <c r="C104" s="1"/>
      <c r="D104" s="7"/>
      <c r="E104" s="7"/>
      <c r="F104" s="7"/>
      <c r="G104" s="7"/>
      <c r="H104" s="7"/>
      <c r="I104" s="7"/>
      <c r="J104" s="7"/>
      <c r="K104" s="1"/>
      <c r="L104" s="1"/>
    </row>
    <row r="105" spans="1:12">
      <c r="A105" s="1">
        <v>37</v>
      </c>
      <c r="B105" s="1" t="s">
        <v>30</v>
      </c>
      <c r="C105" s="1" t="s">
        <v>12</v>
      </c>
      <c r="D105" s="7">
        <v>6563.26</v>
      </c>
      <c r="E105" s="7">
        <v>15.15</v>
      </c>
      <c r="F105" s="7">
        <v>6.74</v>
      </c>
      <c r="G105" s="7">
        <v>0</v>
      </c>
      <c r="H105" s="7">
        <v>0</v>
      </c>
      <c r="I105" s="7"/>
      <c r="J105" s="7">
        <f>SUM(D105:H105)</f>
        <v>6585.15</v>
      </c>
      <c r="K105" s="1"/>
      <c r="L105" s="1"/>
    </row>
    <row r="106" spans="1:12">
      <c r="A106" s="1"/>
      <c r="B106" s="1"/>
      <c r="C106" s="1"/>
      <c r="D106" s="7"/>
      <c r="E106" s="7"/>
      <c r="F106" s="7"/>
      <c r="G106" s="7"/>
      <c r="H106" s="7"/>
      <c r="I106" s="7"/>
      <c r="J106" s="7"/>
      <c r="K106" s="1"/>
      <c r="L106" s="1"/>
    </row>
    <row r="107" spans="1:12">
      <c r="A107" s="1"/>
      <c r="B107" s="1"/>
      <c r="C107" s="1" t="s">
        <v>10</v>
      </c>
      <c r="D107" s="7">
        <f>SUM(D105:D106)</f>
        <v>6563.26</v>
      </c>
      <c r="E107" s="7">
        <f>SUM(E105:E106)</f>
        <v>15.15</v>
      </c>
      <c r="F107" s="7">
        <f>SUM(F105:F106)</f>
        <v>6.74</v>
      </c>
      <c r="G107" s="7">
        <f>SUM(G105:G106)</f>
        <v>0</v>
      </c>
      <c r="H107" s="7">
        <f>SUM(H105:H106)</f>
        <v>0</v>
      </c>
      <c r="I107" s="7"/>
      <c r="J107" s="7">
        <f>SUM(D107:H107)</f>
        <v>6585.15</v>
      </c>
      <c r="K107" s="1"/>
      <c r="L107" s="1"/>
    </row>
    <row r="108" spans="1:12">
      <c r="A108" s="1"/>
      <c r="B108" s="1"/>
      <c r="C108" s="1"/>
      <c r="D108" s="7"/>
      <c r="E108" s="7"/>
      <c r="F108" s="7"/>
      <c r="G108" s="7"/>
      <c r="H108" s="7"/>
      <c r="I108" s="7"/>
      <c r="J108" s="7"/>
      <c r="K108" s="1"/>
      <c r="L108" s="1"/>
    </row>
    <row r="109" spans="1:12">
      <c r="A109" s="1"/>
      <c r="B109" s="1"/>
      <c r="C109" s="1"/>
      <c r="D109" s="7"/>
      <c r="E109" s="7"/>
      <c r="F109" s="7"/>
      <c r="G109" s="7"/>
      <c r="H109" s="7"/>
      <c r="I109" s="7"/>
      <c r="J109" s="7"/>
      <c r="K109" s="1"/>
      <c r="L109" s="1"/>
    </row>
    <row r="110" spans="1:12">
      <c r="A110" s="1" t="s">
        <v>14</v>
      </c>
      <c r="B110" s="1"/>
      <c r="C110" s="1"/>
      <c r="D110" s="7"/>
      <c r="E110" s="7"/>
      <c r="F110" s="7"/>
      <c r="G110" s="7"/>
      <c r="H110" s="7"/>
      <c r="I110" s="7"/>
      <c r="J110" s="7"/>
      <c r="K110" s="1"/>
      <c r="L110" s="1"/>
    </row>
    <row r="111" spans="1:12">
      <c r="A111" s="1">
        <v>38</v>
      </c>
      <c r="B111" s="1" t="s">
        <v>31</v>
      </c>
      <c r="C111" s="1" t="s">
        <v>12</v>
      </c>
      <c r="D111" s="7">
        <v>10708.87</v>
      </c>
      <c r="E111" s="7">
        <v>389.76</v>
      </c>
      <c r="F111" s="7">
        <v>313.17</v>
      </c>
      <c r="G111" s="7">
        <v>246.76</v>
      </c>
      <c r="H111" s="7">
        <v>188.32</v>
      </c>
      <c r="I111" s="7"/>
      <c r="J111" s="7">
        <f>SUM(D111:H111)</f>
        <v>11846.880000000001</v>
      </c>
      <c r="K111" s="1"/>
      <c r="L111" s="1"/>
    </row>
    <row r="112" spans="1:12">
      <c r="A112" s="1"/>
      <c r="B112" s="1"/>
      <c r="C112" s="1" t="s">
        <v>13</v>
      </c>
      <c r="D112" s="7">
        <v>642.46</v>
      </c>
      <c r="E112" s="7">
        <v>50.38</v>
      </c>
      <c r="F112" s="7">
        <v>35.409999999999997</v>
      </c>
      <c r="G112" s="7">
        <v>28.31</v>
      </c>
      <c r="H112" s="7">
        <v>21.56</v>
      </c>
      <c r="I112" s="7"/>
      <c r="J112" s="7">
        <f>SUM(D112:H112)</f>
        <v>778.11999999999989</v>
      </c>
      <c r="K112" s="1"/>
      <c r="L112" s="1"/>
    </row>
    <row r="113" spans="1:12">
      <c r="A113" s="1"/>
      <c r="B113" s="1"/>
      <c r="C113" s="1" t="s">
        <v>10</v>
      </c>
      <c r="D113" s="7">
        <f>SUM(D111:D112)</f>
        <v>11351.330000000002</v>
      </c>
      <c r="E113" s="7">
        <f>SUM(E111:E112)</f>
        <v>440.14</v>
      </c>
      <c r="F113" s="7">
        <f>SUM(F111:F112)</f>
        <v>348.58000000000004</v>
      </c>
      <c r="G113" s="7">
        <f>SUM(G111:G112)</f>
        <v>275.07</v>
      </c>
      <c r="H113" s="7">
        <f>SUM(H111:H112)</f>
        <v>209.88</v>
      </c>
      <c r="I113" s="7"/>
      <c r="J113" s="7">
        <f>SUM(D113:H113)</f>
        <v>12625</v>
      </c>
      <c r="K113" s="1"/>
      <c r="L113" s="1"/>
    </row>
    <row r="114" spans="1:12">
      <c r="A114" s="1"/>
      <c r="B114" s="1"/>
      <c r="C114" s="1"/>
      <c r="D114" s="7"/>
      <c r="E114" s="7"/>
      <c r="F114" s="7"/>
      <c r="G114" s="7"/>
      <c r="H114" s="7"/>
      <c r="I114" s="7"/>
      <c r="J114" s="7"/>
      <c r="K114" s="1"/>
      <c r="L114" s="1"/>
    </row>
    <row r="115" spans="1:12">
      <c r="A115" s="1"/>
      <c r="B115" s="1"/>
      <c r="C115" s="1"/>
      <c r="D115" s="7"/>
      <c r="E115" s="7"/>
      <c r="F115" s="7"/>
      <c r="G115" s="7"/>
      <c r="H115" s="7"/>
      <c r="I115" s="7"/>
      <c r="J115" s="7"/>
      <c r="K115" s="1"/>
      <c r="L115" s="1"/>
    </row>
    <row r="116" spans="1:12">
      <c r="A116" s="1" t="s">
        <v>14</v>
      </c>
      <c r="B116" s="1"/>
      <c r="C116" s="1"/>
      <c r="D116" s="7"/>
      <c r="E116" s="7"/>
      <c r="F116" s="7"/>
      <c r="G116" s="7"/>
      <c r="H116" s="7"/>
      <c r="I116" s="7"/>
      <c r="J116" s="7"/>
      <c r="K116" s="1"/>
      <c r="L116" s="1"/>
    </row>
    <row r="117" spans="1:12">
      <c r="A117" s="1">
        <v>39</v>
      </c>
      <c r="B117" s="1" t="s">
        <v>32</v>
      </c>
      <c r="C117" s="1" t="s">
        <v>12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/>
      <c r="J117" s="7">
        <f>SUM(D117:H117)</f>
        <v>0</v>
      </c>
      <c r="K117" s="1"/>
      <c r="L117" s="1"/>
    </row>
    <row r="118" spans="1:12">
      <c r="A118" s="1"/>
      <c r="B118" s="1"/>
      <c r="C118" s="1"/>
      <c r="D118" s="7"/>
      <c r="E118" s="7"/>
      <c r="F118" s="7"/>
      <c r="G118" s="7"/>
      <c r="H118" s="7"/>
      <c r="I118" s="7"/>
      <c r="J118" s="7"/>
      <c r="K118" s="1"/>
      <c r="L118" s="1"/>
    </row>
    <row r="119" spans="1:12">
      <c r="A119" s="1"/>
      <c r="B119" s="1"/>
      <c r="C119" s="1" t="s">
        <v>10</v>
      </c>
      <c r="D119" s="7">
        <f>SUM(D117:D118)</f>
        <v>0</v>
      </c>
      <c r="E119" s="7">
        <f>SUM(E117:E118)</f>
        <v>0</v>
      </c>
      <c r="F119" s="7">
        <f>SUM(F117:F118)</f>
        <v>0</v>
      </c>
      <c r="G119" s="7">
        <f>SUM(G117:G118)</f>
        <v>0</v>
      </c>
      <c r="H119" s="7">
        <f>SUM(H117:H118)</f>
        <v>0</v>
      </c>
      <c r="I119" s="7"/>
      <c r="J119" s="7">
        <f>SUM(D119:H119)</f>
        <v>0</v>
      </c>
      <c r="K119" s="1"/>
      <c r="L119" s="1"/>
    </row>
    <row r="120" spans="1:12">
      <c r="A120" s="1"/>
      <c r="B120" s="1"/>
      <c r="C120" s="1"/>
      <c r="D120" s="7"/>
      <c r="E120" s="7"/>
      <c r="F120" s="7"/>
      <c r="G120" s="7"/>
      <c r="H120" s="7"/>
      <c r="I120" s="7"/>
      <c r="J120" s="7"/>
      <c r="K120" s="1"/>
      <c r="L120" s="1"/>
    </row>
    <row r="121" spans="1:12">
      <c r="A121" s="1"/>
      <c r="B121" s="1"/>
      <c r="C121" s="1"/>
      <c r="D121" s="7"/>
      <c r="E121" s="7"/>
      <c r="F121" s="7"/>
      <c r="G121" s="7"/>
      <c r="H121" s="7"/>
      <c r="I121" s="7"/>
      <c r="J121" s="7"/>
      <c r="K121" s="1"/>
      <c r="L121" s="1"/>
    </row>
    <row r="122" spans="1:12">
      <c r="A122" s="1" t="s">
        <v>14</v>
      </c>
      <c r="B122" s="1"/>
      <c r="C122" s="1"/>
      <c r="D122" s="7"/>
      <c r="E122" s="7"/>
      <c r="F122" s="7"/>
      <c r="G122" s="7"/>
      <c r="H122" s="7"/>
      <c r="I122" s="7"/>
      <c r="J122" s="7"/>
      <c r="K122" s="1"/>
      <c r="L122" s="1"/>
    </row>
    <row r="123" spans="1:12">
      <c r="A123" s="1">
        <v>40</v>
      </c>
      <c r="B123" s="1" t="s">
        <v>33</v>
      </c>
      <c r="C123" s="1" t="s">
        <v>12</v>
      </c>
      <c r="D123" s="7">
        <v>6616.16</v>
      </c>
      <c r="E123" s="7">
        <v>564.41</v>
      </c>
      <c r="F123" s="7">
        <v>181.2</v>
      </c>
      <c r="G123" s="7">
        <v>181.4</v>
      </c>
      <c r="H123" s="7">
        <v>160.94999999999999</v>
      </c>
      <c r="I123" s="7"/>
      <c r="J123" s="7">
        <f>SUM(D123:H123)</f>
        <v>7704.119999999999</v>
      </c>
      <c r="K123" s="1"/>
      <c r="L123" s="1"/>
    </row>
    <row r="124" spans="1:12">
      <c r="A124" s="1"/>
      <c r="B124" s="1"/>
      <c r="C124" s="1"/>
      <c r="D124" s="7"/>
      <c r="E124" s="7"/>
      <c r="F124" s="7"/>
      <c r="G124" s="7"/>
      <c r="H124" s="7"/>
      <c r="I124" s="7"/>
      <c r="J124" s="7"/>
      <c r="K124" s="1"/>
      <c r="L124" s="1"/>
    </row>
    <row r="125" spans="1:12">
      <c r="A125" s="1"/>
      <c r="B125" s="1"/>
      <c r="C125" s="1" t="s">
        <v>10</v>
      </c>
      <c r="D125" s="7">
        <f>SUM(D123:D124)</f>
        <v>6616.16</v>
      </c>
      <c r="E125" s="7">
        <f>SUM(E123:E124)</f>
        <v>564.41</v>
      </c>
      <c r="F125" s="7">
        <f>SUM(F123:F124)</f>
        <v>181.2</v>
      </c>
      <c r="G125" s="7">
        <f>SUM(G123:G124)</f>
        <v>181.4</v>
      </c>
      <c r="H125" s="7">
        <f>SUM(H123:H124)</f>
        <v>160.94999999999999</v>
      </c>
      <c r="I125" s="7"/>
      <c r="J125" s="7">
        <f>SUM(D125:H125)</f>
        <v>7704.119999999999</v>
      </c>
      <c r="K125" s="1"/>
      <c r="L125" s="1"/>
    </row>
    <row r="126" spans="1:12">
      <c r="A126" s="1"/>
      <c r="B126" s="1"/>
      <c r="C126" s="1"/>
      <c r="D126" s="7"/>
      <c r="E126" s="7"/>
      <c r="F126" s="7"/>
      <c r="G126" s="7"/>
      <c r="H126" s="7"/>
      <c r="I126" s="7"/>
      <c r="J126" s="7"/>
      <c r="K126" s="1"/>
      <c r="L126" s="1"/>
    </row>
    <row r="127" spans="1:12">
      <c r="A127" s="1"/>
      <c r="B127" s="1"/>
      <c r="C127" s="1"/>
      <c r="D127" s="7"/>
      <c r="E127" s="7"/>
      <c r="F127" s="7"/>
      <c r="G127" s="7"/>
      <c r="H127" s="7"/>
      <c r="I127" s="7"/>
      <c r="J127" s="7"/>
      <c r="K127" s="1"/>
      <c r="L127" s="1"/>
    </row>
    <row r="128" spans="1:12">
      <c r="A128" s="1" t="s">
        <v>14</v>
      </c>
      <c r="B128" s="1"/>
      <c r="C128" s="1"/>
      <c r="D128" s="7"/>
      <c r="E128" s="7"/>
      <c r="F128" s="7"/>
      <c r="G128" s="7"/>
      <c r="H128" s="7"/>
      <c r="I128" s="7"/>
      <c r="J128" s="7"/>
      <c r="K128" s="1"/>
      <c r="L128" s="1"/>
    </row>
    <row r="129" spans="1:12">
      <c r="A129" s="1">
        <v>41</v>
      </c>
      <c r="B129" s="1" t="s">
        <v>34</v>
      </c>
      <c r="C129" s="1" t="s">
        <v>12</v>
      </c>
      <c r="D129" s="7">
        <v>6030.82</v>
      </c>
      <c r="E129" s="7">
        <v>0</v>
      </c>
      <c r="F129" s="7">
        <v>0</v>
      </c>
      <c r="G129" s="7">
        <v>0</v>
      </c>
      <c r="H129" s="7">
        <v>0</v>
      </c>
      <c r="I129" s="7"/>
      <c r="J129" s="7">
        <f>SUM(D129:H129)</f>
        <v>6030.82</v>
      </c>
      <c r="K129" s="1"/>
      <c r="L129" s="1"/>
    </row>
    <row r="130" spans="1:12">
      <c r="A130" s="1"/>
      <c r="B130" s="1"/>
      <c r="C130" s="1" t="s">
        <v>35</v>
      </c>
      <c r="D130" s="7">
        <v>247.95</v>
      </c>
      <c r="E130" s="7">
        <v>0</v>
      </c>
      <c r="F130" s="7"/>
      <c r="G130" s="7"/>
      <c r="H130" s="7"/>
      <c r="I130" s="7"/>
      <c r="J130" s="7">
        <f>SUM(D130:H130)</f>
        <v>247.95</v>
      </c>
      <c r="K130" s="1"/>
      <c r="L130" s="1"/>
    </row>
    <row r="131" spans="1:12">
      <c r="A131" s="1"/>
      <c r="B131" s="1"/>
      <c r="C131" s="1" t="s">
        <v>10</v>
      </c>
      <c r="D131" s="7">
        <f>SUM(D129:D130)</f>
        <v>6278.7699999999995</v>
      </c>
      <c r="E131" s="7">
        <f>SUM(E129:E130)</f>
        <v>0</v>
      </c>
      <c r="F131" s="7">
        <f>SUM(F129:F130)</f>
        <v>0</v>
      </c>
      <c r="G131" s="7">
        <f>SUM(G129:G130)</f>
        <v>0</v>
      </c>
      <c r="H131" s="7">
        <f>SUM(H129:H130)</f>
        <v>0</v>
      </c>
      <c r="I131" s="7"/>
      <c r="J131" s="7">
        <f>SUM(D131:H131)</f>
        <v>6278.7699999999995</v>
      </c>
      <c r="K131" s="1"/>
      <c r="L131" s="1"/>
    </row>
    <row r="132" spans="1:12">
      <c r="A132" s="1"/>
      <c r="B132" s="1"/>
      <c r="C132" s="1"/>
      <c r="D132" s="7"/>
      <c r="E132" s="7"/>
      <c r="F132" s="7"/>
      <c r="G132" s="7"/>
      <c r="H132" s="7"/>
      <c r="I132" s="7"/>
      <c r="J132" s="7"/>
      <c r="K132" s="1"/>
      <c r="L132" s="1"/>
    </row>
    <row r="133" spans="1:12">
      <c r="A133" s="1"/>
      <c r="B133" s="1"/>
      <c r="C133" s="1"/>
      <c r="D133" s="7"/>
      <c r="E133" s="7"/>
      <c r="F133" s="7"/>
      <c r="G133" s="7"/>
      <c r="H133" s="7"/>
      <c r="I133" s="7"/>
      <c r="J133" s="7"/>
      <c r="K133" s="1"/>
      <c r="L133" s="1"/>
    </row>
    <row r="134" spans="1:12">
      <c r="A134" s="1" t="s">
        <v>14</v>
      </c>
      <c r="B134" s="1"/>
      <c r="C134" s="1"/>
      <c r="D134" s="7"/>
      <c r="E134" s="7"/>
      <c r="F134" s="7"/>
      <c r="G134" s="7"/>
      <c r="H134" s="7"/>
      <c r="I134" s="7"/>
      <c r="J134" s="7"/>
      <c r="K134" s="1"/>
      <c r="L134" s="1"/>
    </row>
    <row r="135" spans="1:12">
      <c r="A135" s="1">
        <v>42</v>
      </c>
      <c r="B135" s="1" t="s">
        <v>36</v>
      </c>
      <c r="C135" s="1" t="s">
        <v>12</v>
      </c>
      <c r="D135" s="7">
        <v>3880.77</v>
      </c>
      <c r="E135" s="7">
        <v>3.7</v>
      </c>
      <c r="F135" s="7">
        <v>0</v>
      </c>
      <c r="G135" s="7">
        <v>0</v>
      </c>
      <c r="H135" s="7">
        <v>0</v>
      </c>
      <c r="I135" s="7"/>
      <c r="J135" s="7">
        <f>SUM(D135:H135)</f>
        <v>3884.47</v>
      </c>
      <c r="K135" s="1"/>
      <c r="L135" s="1"/>
    </row>
    <row r="136" spans="1:12">
      <c r="A136" s="1"/>
      <c r="B136" s="1"/>
      <c r="C136" s="1" t="s">
        <v>13</v>
      </c>
      <c r="D136" s="7">
        <v>299.79000000000002</v>
      </c>
      <c r="E136" s="7">
        <v>0.39</v>
      </c>
      <c r="F136" s="7">
        <v>0</v>
      </c>
      <c r="G136" s="7">
        <v>0</v>
      </c>
      <c r="H136" s="7">
        <v>0</v>
      </c>
      <c r="I136" s="7"/>
      <c r="J136" s="7">
        <f>SUM(D136:H136)</f>
        <v>300.18</v>
      </c>
      <c r="K136" s="1"/>
      <c r="L136" s="1"/>
    </row>
    <row r="137" spans="1:12">
      <c r="A137" s="1"/>
      <c r="B137" s="1"/>
      <c r="C137" s="1" t="s">
        <v>10</v>
      </c>
      <c r="D137" s="7">
        <f>SUM(D135:D136)</f>
        <v>4180.5600000000004</v>
      </c>
      <c r="E137" s="7">
        <f>SUM(E135:E136)</f>
        <v>4.09</v>
      </c>
      <c r="F137" s="7">
        <f>SUM(F135:F136)</f>
        <v>0</v>
      </c>
      <c r="G137" s="7">
        <f>SUM(G135:G136)</f>
        <v>0</v>
      </c>
      <c r="H137" s="7">
        <f>SUM(H135:H136)</f>
        <v>0</v>
      </c>
      <c r="I137" s="7"/>
      <c r="J137" s="7">
        <f>SUM(D137:H137)</f>
        <v>4184.6500000000005</v>
      </c>
      <c r="K137" s="1"/>
      <c r="L137" s="1"/>
    </row>
    <row r="138" spans="1:12">
      <c r="A138" s="1"/>
      <c r="B138" s="1"/>
      <c r="C138" s="1"/>
      <c r="D138" s="7"/>
      <c r="E138" s="7"/>
      <c r="F138" s="7"/>
      <c r="G138" s="7"/>
      <c r="H138" s="7"/>
      <c r="I138" s="7"/>
      <c r="J138" s="7"/>
      <c r="K138" s="1"/>
      <c r="L138" s="1"/>
    </row>
    <row r="139" spans="1:12">
      <c r="A139" s="1"/>
      <c r="B139" s="1"/>
      <c r="C139" s="1"/>
      <c r="D139" s="7"/>
      <c r="E139" s="7"/>
      <c r="F139" s="7"/>
      <c r="G139" s="7"/>
      <c r="H139" s="7"/>
      <c r="I139" s="7"/>
      <c r="J139" s="7"/>
      <c r="K139" s="1"/>
      <c r="L139" s="1"/>
    </row>
    <row r="140" spans="1:12">
      <c r="A140" s="1" t="s">
        <v>14</v>
      </c>
      <c r="B140" s="1"/>
      <c r="C140" s="1"/>
      <c r="D140" s="7"/>
      <c r="E140" s="7"/>
      <c r="F140" s="7"/>
      <c r="G140" s="7"/>
      <c r="H140" s="7"/>
      <c r="I140" s="7"/>
      <c r="J140" s="7"/>
      <c r="K140" s="1"/>
      <c r="L140" s="1"/>
    </row>
    <row r="141" spans="1:12">
      <c r="A141" s="1">
        <v>43</v>
      </c>
      <c r="B141" s="1" t="s">
        <v>37</v>
      </c>
      <c r="C141" s="1" t="s">
        <v>12</v>
      </c>
      <c r="D141" s="7">
        <v>5812.47</v>
      </c>
      <c r="E141" s="7">
        <v>78.13</v>
      </c>
      <c r="F141" s="7">
        <v>52.47</v>
      </c>
      <c r="G141" s="7">
        <v>0</v>
      </c>
      <c r="H141" s="7">
        <v>0</v>
      </c>
      <c r="I141" s="7"/>
      <c r="J141" s="7">
        <f>SUM(D141:H141)</f>
        <v>5943.0700000000006</v>
      </c>
      <c r="K141" s="1"/>
      <c r="L141" s="1"/>
    </row>
    <row r="142" spans="1:12">
      <c r="A142" s="1"/>
      <c r="B142" s="1"/>
      <c r="C142" s="1" t="s">
        <v>13</v>
      </c>
      <c r="D142" s="7">
        <v>236.94</v>
      </c>
      <c r="E142" s="7">
        <v>7.04</v>
      </c>
      <c r="F142" s="7">
        <v>1.2</v>
      </c>
      <c r="G142" s="7">
        <v>0</v>
      </c>
      <c r="H142" s="7">
        <v>0</v>
      </c>
      <c r="I142" s="7"/>
      <c r="J142" s="7">
        <f>SUM(D142:H142)</f>
        <v>245.17999999999998</v>
      </c>
      <c r="K142" s="1"/>
      <c r="L142" s="1"/>
    </row>
    <row r="143" spans="1:12">
      <c r="A143" s="1"/>
      <c r="B143" s="1"/>
      <c r="C143" s="1" t="s">
        <v>10</v>
      </c>
      <c r="D143" s="7">
        <f>SUM(D141:D142)</f>
        <v>6049.41</v>
      </c>
      <c r="E143" s="7">
        <f>SUM(E141:E142)</f>
        <v>85.17</v>
      </c>
      <c r="F143" s="7">
        <f>SUM(F141:F142)</f>
        <v>53.67</v>
      </c>
      <c r="G143" s="7">
        <f>SUM(G141:G142)</f>
        <v>0</v>
      </c>
      <c r="H143" s="7">
        <f>SUM(H141:H142)</f>
        <v>0</v>
      </c>
      <c r="I143" s="7"/>
      <c r="J143" s="7">
        <f>SUM(D143:H143)</f>
        <v>6188.25</v>
      </c>
      <c r="K143" s="1"/>
      <c r="L143" s="1"/>
    </row>
    <row r="144" spans="1:12">
      <c r="A144" s="1"/>
      <c r="B144" s="1"/>
      <c r="C144" s="1"/>
      <c r="D144" s="7"/>
      <c r="E144" s="7"/>
      <c r="F144" s="7"/>
      <c r="G144" s="7"/>
      <c r="H144" s="7"/>
      <c r="I144" s="7"/>
      <c r="J144" s="7"/>
      <c r="K144" s="1"/>
      <c r="L144" s="1"/>
    </row>
    <row r="145" spans="1:12">
      <c r="A145" s="1"/>
      <c r="B145" s="1"/>
      <c r="C145" s="1"/>
      <c r="D145" s="7"/>
      <c r="E145" s="7"/>
      <c r="F145" s="7"/>
      <c r="G145" s="7"/>
      <c r="H145" s="7"/>
      <c r="I145" s="7"/>
      <c r="J145" s="7"/>
      <c r="K145" s="1"/>
      <c r="L145" s="1"/>
    </row>
    <row r="146" spans="1:12">
      <c r="A146" s="1" t="s">
        <v>14</v>
      </c>
      <c r="B146" s="1"/>
      <c r="C146" s="1"/>
      <c r="D146" s="7"/>
      <c r="E146" s="7"/>
      <c r="F146" s="7"/>
      <c r="G146" s="7"/>
      <c r="H146" s="7"/>
      <c r="I146" s="7"/>
      <c r="J146" s="7"/>
      <c r="K146" s="1"/>
      <c r="L146" s="1"/>
    </row>
    <row r="147" spans="1:12">
      <c r="A147" s="1">
        <v>44</v>
      </c>
      <c r="B147" s="1" t="s">
        <v>38</v>
      </c>
      <c r="C147" s="1" t="s">
        <v>12</v>
      </c>
      <c r="D147" s="7">
        <v>6853.89</v>
      </c>
      <c r="E147" s="7">
        <v>345.54</v>
      </c>
      <c r="F147" s="7">
        <v>200.5</v>
      </c>
      <c r="G147" s="7">
        <v>166.52</v>
      </c>
      <c r="H147" s="7">
        <v>121.76</v>
      </c>
      <c r="I147" s="7"/>
      <c r="J147" s="7">
        <f>SUM(D147:H147)</f>
        <v>7688.2100000000009</v>
      </c>
      <c r="K147" s="1"/>
      <c r="L147" s="1"/>
    </row>
    <row r="148" spans="1:12">
      <c r="A148" s="1"/>
      <c r="B148" s="1"/>
      <c r="C148" s="1"/>
      <c r="D148" s="7"/>
      <c r="E148" s="7"/>
      <c r="F148" s="7"/>
      <c r="G148" s="7"/>
      <c r="H148" s="7"/>
      <c r="I148" s="7"/>
      <c r="J148" s="7"/>
      <c r="K148" s="1"/>
      <c r="L148" s="1"/>
    </row>
    <row r="149" spans="1:12">
      <c r="A149" s="1"/>
      <c r="B149" s="1"/>
      <c r="C149" s="1" t="s">
        <v>10</v>
      </c>
      <c r="D149" s="7">
        <f>SUM(D147:D148)</f>
        <v>6853.89</v>
      </c>
      <c r="E149" s="7">
        <f>SUM(E147:E148)</f>
        <v>345.54</v>
      </c>
      <c r="F149" s="7">
        <f>SUM(F147:F148)</f>
        <v>200.5</v>
      </c>
      <c r="G149" s="7">
        <f>SUM(G147:G148)</f>
        <v>166.52</v>
      </c>
      <c r="H149" s="7">
        <f>SUM(H147:H148)</f>
        <v>121.76</v>
      </c>
      <c r="I149" s="7"/>
      <c r="J149" s="7">
        <f>SUM(D149:H149)</f>
        <v>7688.2100000000009</v>
      </c>
      <c r="K149" s="1"/>
      <c r="L149" s="1"/>
    </row>
    <row r="150" spans="1:12">
      <c r="A150" s="1"/>
      <c r="B150" s="1"/>
      <c r="C150" s="1"/>
      <c r="D150" s="7"/>
      <c r="E150" s="7"/>
      <c r="F150" s="7"/>
      <c r="G150" s="7"/>
      <c r="H150" s="7"/>
      <c r="I150" s="7"/>
      <c r="J150" s="7"/>
      <c r="K150" s="1"/>
      <c r="L150" s="1"/>
    </row>
    <row r="151" spans="1:12">
      <c r="A151" s="1"/>
      <c r="B151" s="1"/>
      <c r="C151" s="1"/>
      <c r="D151" s="7"/>
      <c r="E151" s="7"/>
      <c r="F151" s="7"/>
      <c r="G151" s="7"/>
      <c r="H151" s="7"/>
      <c r="I151" s="7"/>
      <c r="J151" s="7"/>
      <c r="K151" s="1"/>
      <c r="L151" s="1"/>
    </row>
    <row r="152" spans="1:12">
      <c r="A152" s="1" t="s">
        <v>14</v>
      </c>
      <c r="B152" s="1"/>
      <c r="C152" s="1"/>
      <c r="D152" s="7"/>
      <c r="E152" s="7"/>
      <c r="F152" s="7"/>
      <c r="G152" s="7"/>
      <c r="H152" s="7"/>
      <c r="I152" s="7"/>
      <c r="J152" s="7"/>
      <c r="K152" s="1"/>
      <c r="L152" s="1"/>
    </row>
    <row r="153" spans="1:12">
      <c r="A153" s="1">
        <v>45</v>
      </c>
      <c r="B153" s="1" t="s">
        <v>39</v>
      </c>
      <c r="C153" s="1" t="s">
        <v>12</v>
      </c>
      <c r="D153" s="7">
        <v>4805.09</v>
      </c>
      <c r="E153" s="7">
        <v>373.17</v>
      </c>
      <c r="F153" s="7">
        <v>257.82</v>
      </c>
      <c r="G153" s="7">
        <v>257.69</v>
      </c>
      <c r="H153" s="7">
        <v>0</v>
      </c>
      <c r="I153" s="7"/>
      <c r="J153" s="7">
        <f>SUM(D153:H153)</f>
        <v>5693.7699999999995</v>
      </c>
      <c r="K153" s="1"/>
      <c r="L153" s="1"/>
    </row>
    <row r="154" spans="1:12">
      <c r="A154" s="1"/>
      <c r="B154" s="1"/>
      <c r="C154" s="1"/>
      <c r="D154" s="7"/>
      <c r="E154" s="7"/>
      <c r="F154" s="7"/>
      <c r="G154" s="7"/>
      <c r="H154" s="7"/>
      <c r="I154" s="7"/>
      <c r="J154" s="7"/>
      <c r="K154" s="1"/>
      <c r="L154" s="1"/>
    </row>
    <row r="155" spans="1:12">
      <c r="A155" s="1"/>
      <c r="B155" s="1"/>
      <c r="C155" s="1" t="s">
        <v>10</v>
      </c>
      <c r="D155" s="7">
        <f>SUM(D153:D154)</f>
        <v>4805.09</v>
      </c>
      <c r="E155" s="7">
        <f>SUM(E153:E154)</f>
        <v>373.17</v>
      </c>
      <c r="F155" s="7">
        <f>SUM(F153:F154)</f>
        <v>257.82</v>
      </c>
      <c r="G155" s="7">
        <f>SUM(G153:G154)</f>
        <v>257.69</v>
      </c>
      <c r="H155" s="7">
        <f>SUM(H153:H154)</f>
        <v>0</v>
      </c>
      <c r="I155" s="7"/>
      <c r="J155" s="7">
        <f>SUM(D155:H155)</f>
        <v>5693.7699999999995</v>
      </c>
      <c r="K155" s="1"/>
      <c r="L155" s="1"/>
    </row>
    <row r="156" spans="1:12">
      <c r="A156" s="1"/>
      <c r="B156" s="1"/>
      <c r="C156" s="1"/>
      <c r="D156" s="7"/>
      <c r="E156" s="7"/>
      <c r="F156" s="7"/>
      <c r="G156" s="7"/>
      <c r="H156" s="7"/>
      <c r="I156" s="7"/>
      <c r="J156" s="7"/>
      <c r="K156" s="1"/>
      <c r="L156" s="1"/>
    </row>
    <row r="157" spans="1:12">
      <c r="A157" s="1"/>
      <c r="B157" s="1"/>
      <c r="C157" s="1"/>
      <c r="D157" s="7"/>
      <c r="E157" s="7"/>
      <c r="F157" s="7"/>
      <c r="G157" s="7"/>
      <c r="H157" s="7"/>
      <c r="I157" s="7"/>
      <c r="J157" s="7"/>
      <c r="K157" s="1"/>
      <c r="L157" s="1"/>
    </row>
    <row r="158" spans="1:12">
      <c r="A158" s="1" t="s">
        <v>14</v>
      </c>
      <c r="B158" s="1"/>
      <c r="C158" s="1"/>
      <c r="D158" s="7"/>
      <c r="E158" s="7"/>
      <c r="F158" s="7"/>
      <c r="G158" s="7"/>
      <c r="H158" s="7"/>
      <c r="I158" s="7"/>
      <c r="J158" s="7"/>
      <c r="K158" s="1"/>
      <c r="L158" s="1"/>
    </row>
    <row r="159" spans="1:12">
      <c r="A159" s="1">
        <v>46</v>
      </c>
      <c r="B159" s="1" t="s">
        <v>40</v>
      </c>
      <c r="C159" s="1" t="s">
        <v>12</v>
      </c>
      <c r="D159" s="7">
        <v>3950.11</v>
      </c>
      <c r="E159" s="7">
        <v>308.99</v>
      </c>
      <c r="F159" s="7">
        <v>269.87</v>
      </c>
      <c r="G159" s="7">
        <v>0</v>
      </c>
      <c r="H159" s="7">
        <v>0</v>
      </c>
      <c r="I159" s="7"/>
      <c r="J159" s="7">
        <f>SUM(D159:H159)</f>
        <v>4528.97</v>
      </c>
      <c r="K159" s="1"/>
      <c r="L159" s="1"/>
    </row>
    <row r="160" spans="1:12">
      <c r="A160" s="1"/>
      <c r="B160" s="1"/>
      <c r="C160" s="1"/>
      <c r="D160" s="7"/>
      <c r="E160" s="7"/>
      <c r="F160" s="7"/>
      <c r="G160" s="7"/>
      <c r="H160" s="7"/>
      <c r="I160" s="7"/>
      <c r="J160" s="7"/>
      <c r="K160" s="1"/>
      <c r="L160" s="1"/>
    </row>
    <row r="161" spans="1:12">
      <c r="A161" s="1"/>
      <c r="B161" s="1"/>
      <c r="C161" s="1" t="s">
        <v>10</v>
      </c>
      <c r="D161" s="7">
        <f>SUM(D159:D160)</f>
        <v>3950.11</v>
      </c>
      <c r="E161" s="7">
        <f>SUM(E159:E160)</f>
        <v>308.99</v>
      </c>
      <c r="F161" s="7">
        <f>SUM(F159:F160)</f>
        <v>269.87</v>
      </c>
      <c r="G161" s="7">
        <f>SUM(G159:G160)</f>
        <v>0</v>
      </c>
      <c r="H161" s="7">
        <f>SUM(H159:H160)</f>
        <v>0</v>
      </c>
      <c r="I161" s="7"/>
      <c r="J161" s="7">
        <f>SUM(D161:H161)</f>
        <v>4528.97</v>
      </c>
      <c r="K161" s="1"/>
      <c r="L161" s="1"/>
    </row>
    <row r="162" spans="1:12">
      <c r="A162" s="1"/>
      <c r="B162" s="1"/>
      <c r="C162" s="1"/>
      <c r="D162" s="7"/>
      <c r="E162" s="7"/>
      <c r="F162" s="7"/>
      <c r="G162" s="7"/>
      <c r="H162" s="7"/>
      <c r="I162" s="7"/>
      <c r="J162" s="7"/>
      <c r="K162" s="1"/>
      <c r="L162" s="1"/>
    </row>
    <row r="163" spans="1:12">
      <c r="A163" s="1"/>
      <c r="B163" s="1"/>
      <c r="C163" s="1"/>
      <c r="D163" s="7"/>
      <c r="E163" s="7"/>
      <c r="F163" s="7"/>
      <c r="G163" s="7"/>
      <c r="H163" s="7"/>
      <c r="I163" s="7"/>
      <c r="J163" s="7"/>
      <c r="K163" s="1"/>
      <c r="L163" s="1"/>
    </row>
    <row r="164" spans="1:12">
      <c r="A164" s="1" t="s">
        <v>14</v>
      </c>
      <c r="B164" s="1"/>
      <c r="C164" s="1"/>
      <c r="D164" s="7"/>
      <c r="E164" s="7"/>
      <c r="F164" s="7"/>
      <c r="G164" s="7"/>
      <c r="H164" s="7"/>
      <c r="I164" s="7"/>
      <c r="J164" s="7"/>
      <c r="K164" s="1"/>
      <c r="L164" s="1"/>
    </row>
    <row r="165" spans="1:12">
      <c r="A165" s="1">
        <v>47</v>
      </c>
      <c r="B165" s="1" t="s">
        <v>41</v>
      </c>
      <c r="C165" s="1" t="s">
        <v>12</v>
      </c>
      <c r="D165" s="7">
        <v>4335.95</v>
      </c>
      <c r="E165" s="7">
        <v>416.89</v>
      </c>
      <c r="F165" s="7">
        <v>143.99</v>
      </c>
      <c r="G165" s="7">
        <v>0</v>
      </c>
      <c r="H165" s="7">
        <v>0</v>
      </c>
      <c r="I165" s="7"/>
      <c r="J165" s="7">
        <f>SUM(D165:H165)</f>
        <v>4896.83</v>
      </c>
      <c r="K165" s="1"/>
      <c r="L165" s="1"/>
    </row>
    <row r="166" spans="1:12">
      <c r="A166" s="1"/>
      <c r="B166" s="1"/>
      <c r="C166" s="1" t="s">
        <v>13</v>
      </c>
      <c r="D166" s="7">
        <v>0</v>
      </c>
      <c r="E166" s="7">
        <v>0</v>
      </c>
      <c r="F166" s="7">
        <v>4.92</v>
      </c>
      <c r="G166" s="7">
        <v>0</v>
      </c>
      <c r="H166" s="7">
        <v>0</v>
      </c>
      <c r="I166" s="7"/>
      <c r="J166" s="7">
        <f>SUM(D166:H166)</f>
        <v>4.92</v>
      </c>
      <c r="K166" s="1"/>
      <c r="L166" s="1"/>
    </row>
    <row r="167" spans="1:12">
      <c r="A167" s="1"/>
      <c r="B167" s="1"/>
      <c r="C167" s="1" t="s">
        <v>10</v>
      </c>
      <c r="D167" s="7">
        <f>SUM(D165:D166)</f>
        <v>4335.95</v>
      </c>
      <c r="E167" s="7">
        <f>SUM(E165:E166)</f>
        <v>416.89</v>
      </c>
      <c r="F167" s="7">
        <f>SUM(F165:F166)</f>
        <v>148.91</v>
      </c>
      <c r="G167" s="7">
        <f>SUM(G165:G166)</f>
        <v>0</v>
      </c>
      <c r="H167" s="7">
        <f>SUM(H165:H166)</f>
        <v>0</v>
      </c>
      <c r="I167" s="7"/>
      <c r="J167" s="7">
        <f>SUM(D167:H167)</f>
        <v>4901.75</v>
      </c>
      <c r="K167" s="1"/>
      <c r="L167" s="1"/>
    </row>
    <row r="168" spans="1:12">
      <c r="A168" s="1"/>
      <c r="B168" s="1"/>
      <c r="C168" s="1"/>
      <c r="D168" s="7"/>
      <c r="E168" s="7"/>
      <c r="F168" s="7"/>
      <c r="G168" s="7"/>
      <c r="H168" s="7"/>
      <c r="I168" s="7"/>
      <c r="J168" s="7"/>
      <c r="K168" s="1"/>
      <c r="L168" s="1"/>
    </row>
    <row r="169" spans="1:12">
      <c r="A169" s="1"/>
      <c r="B169" s="1"/>
      <c r="C169" s="1"/>
      <c r="D169" s="7"/>
      <c r="E169" s="7"/>
      <c r="F169" s="7"/>
      <c r="G169" s="7"/>
      <c r="H169" s="7"/>
      <c r="I169" s="7"/>
      <c r="J169" s="7"/>
      <c r="K169" s="1"/>
      <c r="L169" s="1"/>
    </row>
    <row r="170" spans="1:12">
      <c r="A170" s="1" t="s">
        <v>14</v>
      </c>
      <c r="B170" s="1"/>
      <c r="C170" s="1"/>
      <c r="D170" s="7"/>
      <c r="E170" s="7"/>
      <c r="F170" s="7"/>
      <c r="G170" s="7"/>
      <c r="H170" s="7"/>
      <c r="I170" s="7"/>
      <c r="J170" s="7"/>
      <c r="K170" s="1"/>
      <c r="L170" s="1"/>
    </row>
    <row r="171" spans="1:12">
      <c r="A171" s="1">
        <v>48</v>
      </c>
      <c r="B171" s="1" t="s">
        <v>42</v>
      </c>
      <c r="C171" s="1" t="s">
        <v>12</v>
      </c>
      <c r="D171" s="7">
        <v>8744.23</v>
      </c>
      <c r="E171" s="7">
        <v>258.58999999999997</v>
      </c>
      <c r="F171" s="7">
        <v>191.84</v>
      </c>
      <c r="G171" s="7">
        <v>5.99</v>
      </c>
      <c r="H171" s="7">
        <v>0</v>
      </c>
      <c r="I171" s="7"/>
      <c r="J171" s="7">
        <f>SUM(D171:H171)</f>
        <v>9200.65</v>
      </c>
      <c r="K171" s="1"/>
      <c r="L171" s="1"/>
    </row>
    <row r="172" spans="1:12">
      <c r="A172" s="1"/>
      <c r="B172" s="1"/>
      <c r="C172" s="1"/>
      <c r="D172" s="7"/>
      <c r="E172" s="7"/>
      <c r="F172" s="7"/>
      <c r="G172" s="7"/>
      <c r="H172" s="7"/>
      <c r="I172" s="7"/>
      <c r="J172" s="7"/>
      <c r="K172" s="1"/>
      <c r="L172" s="1"/>
    </row>
    <row r="173" spans="1:12">
      <c r="A173" s="1"/>
      <c r="B173" s="1"/>
      <c r="C173" s="1" t="s">
        <v>10</v>
      </c>
      <c r="D173" s="7">
        <f>SUM(D171:D172)</f>
        <v>8744.23</v>
      </c>
      <c r="E173" s="7">
        <f>SUM(E171:E172)</f>
        <v>258.58999999999997</v>
      </c>
      <c r="F173" s="7">
        <f>SUM(F171:F172)</f>
        <v>191.84</v>
      </c>
      <c r="G173" s="7">
        <f>SUM(G171:G172)</f>
        <v>5.99</v>
      </c>
      <c r="H173" s="7">
        <f>SUM(H171:H172)</f>
        <v>0</v>
      </c>
      <c r="I173" s="7"/>
      <c r="J173" s="7">
        <f>SUM(D173:H173)</f>
        <v>9200.65</v>
      </c>
      <c r="K173" s="1"/>
      <c r="L173" s="1"/>
    </row>
    <row r="174" spans="1:12">
      <c r="A174" s="1"/>
      <c r="B174" s="1"/>
      <c r="C174" s="1"/>
      <c r="D174" s="7"/>
      <c r="E174" s="7"/>
      <c r="F174" s="7"/>
      <c r="G174" s="7"/>
      <c r="H174" s="7"/>
      <c r="I174" s="7"/>
      <c r="J174" s="7"/>
      <c r="K174" s="1"/>
      <c r="L174" s="1"/>
    </row>
    <row r="175" spans="1:12">
      <c r="A175" s="1"/>
      <c r="B175" s="1"/>
      <c r="C175" s="1"/>
      <c r="D175" s="7"/>
      <c r="E175" s="7"/>
      <c r="F175" s="7"/>
      <c r="G175" s="7"/>
      <c r="H175" s="7"/>
      <c r="I175" s="7"/>
      <c r="J175" s="7"/>
      <c r="K175" s="1"/>
      <c r="L175" s="1"/>
    </row>
    <row r="176" spans="1:12">
      <c r="A176" s="1" t="s">
        <v>14</v>
      </c>
      <c r="B176" s="1"/>
      <c r="C176" s="1"/>
      <c r="D176" s="7"/>
      <c r="E176" s="7"/>
      <c r="F176" s="7"/>
      <c r="G176" s="7"/>
      <c r="H176" s="7"/>
      <c r="I176" s="7"/>
      <c r="J176" s="7"/>
      <c r="K176" s="1"/>
      <c r="L176" s="1"/>
    </row>
    <row r="177" spans="1:12">
      <c r="A177" s="1">
        <v>49</v>
      </c>
      <c r="B177" s="1" t="s">
        <v>43</v>
      </c>
      <c r="C177" s="1" t="s">
        <v>12</v>
      </c>
      <c r="D177" s="7">
        <v>10644.92</v>
      </c>
      <c r="E177" s="7">
        <v>323.47000000000003</v>
      </c>
      <c r="F177" s="7">
        <v>205.44</v>
      </c>
      <c r="G177" s="7">
        <v>102.09</v>
      </c>
      <c r="H177" s="7">
        <v>0.56000000000000005</v>
      </c>
      <c r="I177" s="7"/>
      <c r="J177" s="7">
        <f>SUM(D177:H177)</f>
        <v>11276.48</v>
      </c>
      <c r="K177" s="1"/>
      <c r="L177" s="1"/>
    </row>
    <row r="178" spans="1:12">
      <c r="A178" s="1"/>
      <c r="B178" s="1"/>
      <c r="C178" s="1"/>
      <c r="D178" s="7"/>
      <c r="E178" s="7"/>
      <c r="F178" s="7"/>
      <c r="G178" s="7"/>
      <c r="H178" s="7"/>
      <c r="I178" s="7"/>
      <c r="J178" s="7"/>
      <c r="K178" s="1"/>
      <c r="L178" s="1"/>
    </row>
    <row r="179" spans="1:12">
      <c r="A179" s="1"/>
      <c r="B179" s="1"/>
      <c r="C179" s="1" t="s">
        <v>10</v>
      </c>
      <c r="D179" s="7">
        <f>SUM(D177:D178)</f>
        <v>10644.92</v>
      </c>
      <c r="E179" s="7">
        <f>SUM(E177:E178)</f>
        <v>323.47000000000003</v>
      </c>
      <c r="F179" s="7">
        <f>SUM(F177:F178)</f>
        <v>205.44</v>
      </c>
      <c r="G179" s="7">
        <f>SUM(G177:G178)</f>
        <v>102.09</v>
      </c>
      <c r="H179" s="7">
        <f>SUM(H177:H178)</f>
        <v>0.56000000000000005</v>
      </c>
      <c r="I179" s="7"/>
      <c r="J179" s="7">
        <f>SUM(D179:H179)</f>
        <v>11276.48</v>
      </c>
      <c r="K179" s="1"/>
      <c r="L179" s="1"/>
    </row>
    <row r="180" spans="1:12">
      <c r="A180" s="1"/>
      <c r="B180" s="1"/>
      <c r="C180" s="1"/>
      <c r="D180" s="7"/>
      <c r="E180" s="7"/>
      <c r="F180" s="7"/>
      <c r="G180" s="7"/>
      <c r="H180" s="7"/>
      <c r="I180" s="7"/>
      <c r="J180" s="7"/>
      <c r="K180" s="1"/>
      <c r="L180" s="1"/>
    </row>
    <row r="181" spans="1:12">
      <c r="A181" s="1"/>
      <c r="B181" s="1"/>
      <c r="C181" s="1"/>
      <c r="D181" s="7"/>
      <c r="E181" s="7"/>
      <c r="F181" s="7"/>
      <c r="G181" s="7"/>
      <c r="H181" s="7"/>
      <c r="I181" s="7"/>
      <c r="J181" s="7"/>
      <c r="K181" s="1"/>
      <c r="L181" s="1"/>
    </row>
    <row r="182" spans="1:12">
      <c r="A182" s="1" t="s">
        <v>14</v>
      </c>
      <c r="B182" s="1"/>
      <c r="C182" s="1"/>
      <c r="D182" s="7"/>
      <c r="E182" s="7"/>
      <c r="F182" s="7"/>
      <c r="G182" s="7"/>
      <c r="H182" s="7"/>
      <c r="I182" s="7"/>
      <c r="J182" s="7"/>
      <c r="K182" s="1"/>
      <c r="L182" s="1"/>
    </row>
    <row r="183" spans="1:12">
      <c r="A183" s="1">
        <v>50</v>
      </c>
      <c r="B183" s="1" t="s">
        <v>44</v>
      </c>
      <c r="C183" s="1" t="s">
        <v>12</v>
      </c>
      <c r="D183" s="7">
        <v>3481.59</v>
      </c>
      <c r="E183" s="7">
        <v>92.69</v>
      </c>
      <c r="F183" s="7">
        <v>0</v>
      </c>
      <c r="G183" s="7">
        <v>0</v>
      </c>
      <c r="H183" s="7">
        <v>0</v>
      </c>
      <c r="I183" s="7"/>
      <c r="J183" s="7">
        <f>SUM(D183:H183)</f>
        <v>3574.28</v>
      </c>
      <c r="K183" s="1"/>
      <c r="L183" s="1"/>
    </row>
    <row r="184" spans="1:12">
      <c r="A184" s="1"/>
      <c r="B184" s="1"/>
      <c r="C184" s="1" t="s">
        <v>13</v>
      </c>
      <c r="D184" s="7">
        <v>172.1</v>
      </c>
      <c r="E184" s="7">
        <v>4.71</v>
      </c>
      <c r="F184" s="7">
        <v>0</v>
      </c>
      <c r="G184" s="7">
        <v>0</v>
      </c>
      <c r="H184" s="7">
        <v>0</v>
      </c>
      <c r="I184" s="7"/>
      <c r="J184" s="7">
        <f>SUM(D184:H184)</f>
        <v>176.81</v>
      </c>
      <c r="K184" s="1"/>
      <c r="L184" s="1"/>
    </row>
    <row r="185" spans="1:12">
      <c r="A185" s="1"/>
      <c r="B185" s="1"/>
      <c r="C185" s="1" t="s">
        <v>10</v>
      </c>
      <c r="D185" s="7">
        <f>SUM(D183:D184)</f>
        <v>3653.69</v>
      </c>
      <c r="E185" s="7">
        <f>SUM(E183:E184)</f>
        <v>97.399999999999991</v>
      </c>
      <c r="F185" s="7">
        <f>SUM(F183:F184)</f>
        <v>0</v>
      </c>
      <c r="G185" s="7">
        <f>SUM(G183:G184)</f>
        <v>0</v>
      </c>
      <c r="H185" s="7">
        <f>SUM(H183:H184)</f>
        <v>0</v>
      </c>
      <c r="I185" s="7"/>
      <c r="J185" s="7">
        <f>SUM(D185:H185)</f>
        <v>3751.09</v>
      </c>
      <c r="K185" s="1"/>
      <c r="L185" s="1"/>
    </row>
    <row r="186" spans="1:12">
      <c r="A186" s="1"/>
      <c r="B186" s="1"/>
      <c r="C186" s="1"/>
      <c r="D186" s="7"/>
      <c r="E186" s="7"/>
      <c r="F186" s="7"/>
      <c r="G186" s="7"/>
      <c r="H186" s="7"/>
      <c r="I186" s="7"/>
      <c r="J186" s="7"/>
      <c r="K186" s="1"/>
      <c r="L186" s="1"/>
    </row>
    <row r="187" spans="1:12">
      <c r="A187" s="1"/>
      <c r="B187" s="1"/>
      <c r="C187" s="1"/>
      <c r="D187" s="7"/>
      <c r="E187" s="7"/>
      <c r="F187" s="7"/>
      <c r="G187" s="7"/>
      <c r="H187" s="7"/>
      <c r="I187" s="7"/>
      <c r="J187" s="7"/>
      <c r="K187" s="1"/>
      <c r="L187" s="1"/>
    </row>
    <row r="188" spans="1:12">
      <c r="A188" s="1" t="s">
        <v>14</v>
      </c>
      <c r="B188" s="1"/>
      <c r="C188" s="1"/>
      <c r="D188" s="7"/>
      <c r="E188" s="7"/>
      <c r="F188" s="7"/>
      <c r="G188" s="7"/>
      <c r="H188" s="7"/>
      <c r="I188" s="7"/>
      <c r="J188" s="7"/>
      <c r="K188" s="1"/>
      <c r="L188" s="1"/>
    </row>
    <row r="189" spans="1:12">
      <c r="A189" s="1">
        <v>51</v>
      </c>
      <c r="B189" s="1" t="s">
        <v>45</v>
      </c>
      <c r="C189" s="1" t="s">
        <v>12</v>
      </c>
      <c r="D189" s="7">
        <v>12676.61</v>
      </c>
      <c r="E189" s="7">
        <v>628.28</v>
      </c>
      <c r="F189" s="7">
        <v>256.02999999999997</v>
      </c>
      <c r="G189" s="7">
        <v>60.04</v>
      </c>
      <c r="H189" s="7">
        <v>0</v>
      </c>
      <c r="I189" s="7"/>
      <c r="J189" s="7">
        <f>SUM(D189:H189)</f>
        <v>13620.960000000003</v>
      </c>
      <c r="K189" s="1"/>
      <c r="L189" s="1"/>
    </row>
    <row r="190" spans="1:12">
      <c r="A190" s="1"/>
      <c r="B190" s="1"/>
      <c r="C190" s="1" t="s">
        <v>13</v>
      </c>
      <c r="D190" s="7">
        <v>437.06</v>
      </c>
      <c r="E190" s="7">
        <v>39.28</v>
      </c>
      <c r="F190" s="7">
        <v>12.58</v>
      </c>
      <c r="G190" s="7">
        <v>3.16</v>
      </c>
      <c r="H190" s="7">
        <v>0</v>
      </c>
      <c r="I190" s="7"/>
      <c r="J190" s="7">
        <f>SUM(D190:H190)</f>
        <v>492.08000000000004</v>
      </c>
      <c r="K190" s="1"/>
      <c r="L190" s="1"/>
    </row>
    <row r="191" spans="1:12">
      <c r="A191" s="1"/>
      <c r="B191" s="1"/>
      <c r="C191" s="1" t="s">
        <v>46</v>
      </c>
      <c r="D191" s="7">
        <v>211.53</v>
      </c>
      <c r="E191" s="7">
        <v>10.33</v>
      </c>
      <c r="F191" s="7">
        <v>4.43</v>
      </c>
      <c r="G191" s="7">
        <v>1.1200000000000001</v>
      </c>
      <c r="H191" s="7">
        <v>0</v>
      </c>
      <c r="I191" s="7"/>
      <c r="J191" s="7">
        <f>SUM(D191:H191)</f>
        <v>227.41000000000003</v>
      </c>
      <c r="K191" s="1"/>
      <c r="L191" s="1"/>
    </row>
    <row r="192" spans="1:12">
      <c r="A192" s="1"/>
      <c r="B192" s="1"/>
      <c r="C192" s="1" t="s">
        <v>10</v>
      </c>
      <c r="D192" s="7">
        <f>SUM(D189:D191)</f>
        <v>13325.2</v>
      </c>
      <c r="E192" s="7">
        <f>SUM(E189:E191)</f>
        <v>677.89</v>
      </c>
      <c r="F192" s="7">
        <f>SUM(F189:F191)</f>
        <v>273.03999999999996</v>
      </c>
      <c r="G192" s="7">
        <f>SUM(G189:G191)</f>
        <v>64.320000000000007</v>
      </c>
      <c r="H192" s="7">
        <f>SUM(H189:H191)</f>
        <v>0</v>
      </c>
      <c r="I192" s="7"/>
      <c r="J192" s="7">
        <f>SUM(D192:H192)</f>
        <v>14340.45</v>
      </c>
      <c r="K192" s="1"/>
      <c r="L192" s="1"/>
    </row>
    <row r="193" spans="1:12">
      <c r="A193" s="1"/>
      <c r="B193" s="1"/>
      <c r="C193" s="1"/>
      <c r="D193" s="7"/>
      <c r="E193" s="7"/>
      <c r="F193" s="7"/>
      <c r="G193" s="7"/>
      <c r="H193" s="7"/>
      <c r="I193" s="7"/>
      <c r="J193" s="7"/>
      <c r="K193" s="1"/>
      <c r="L193" s="1"/>
    </row>
    <row r="194" spans="1:12">
      <c r="A194" s="1" t="s">
        <v>14</v>
      </c>
      <c r="B194" s="1"/>
      <c r="C194" s="1"/>
      <c r="D194" s="7"/>
      <c r="E194" s="7"/>
      <c r="F194" s="7"/>
      <c r="G194" s="7"/>
      <c r="H194" s="7"/>
      <c r="I194" s="7"/>
      <c r="J194" s="7"/>
      <c r="K194" s="1"/>
      <c r="L194" s="1"/>
    </row>
    <row r="195" spans="1:12">
      <c r="A195" s="1"/>
      <c r="B195" s="1"/>
      <c r="C195" s="1"/>
      <c r="D195" s="7"/>
      <c r="E195" s="7"/>
      <c r="F195" s="7"/>
      <c r="G195" s="7"/>
      <c r="H195" s="7"/>
      <c r="I195" s="7"/>
      <c r="J195" s="7"/>
      <c r="K195" s="1"/>
      <c r="L195" s="1"/>
    </row>
    <row r="196" spans="1:12">
      <c r="A196" s="1">
        <v>52</v>
      </c>
      <c r="B196" s="1" t="s">
        <v>47</v>
      </c>
      <c r="C196" s="1" t="s">
        <v>12</v>
      </c>
      <c r="D196" s="7">
        <v>7360.47</v>
      </c>
      <c r="E196" s="7">
        <v>100.39</v>
      </c>
      <c r="F196" s="7">
        <v>96.36</v>
      </c>
      <c r="G196" s="7">
        <v>0.56999999999999995</v>
      </c>
      <c r="H196" s="7">
        <v>0</v>
      </c>
      <c r="I196" s="7"/>
      <c r="J196" s="7">
        <f>SUM(D196:H196)</f>
        <v>7557.79</v>
      </c>
      <c r="K196" s="1"/>
      <c r="L196" s="1"/>
    </row>
    <row r="197" spans="1:12">
      <c r="A197" s="1"/>
      <c r="B197" s="1"/>
      <c r="C197" s="1" t="s">
        <v>13</v>
      </c>
      <c r="D197" s="7">
        <v>402.53</v>
      </c>
      <c r="E197" s="7">
        <v>9.94</v>
      </c>
      <c r="F197" s="7">
        <v>7.72</v>
      </c>
      <c r="G197" s="7">
        <v>0.05</v>
      </c>
      <c r="H197" s="7">
        <v>0</v>
      </c>
      <c r="I197" s="7"/>
      <c r="J197" s="7">
        <f>SUM(D197:H197)</f>
        <v>420.24</v>
      </c>
      <c r="K197" s="1"/>
      <c r="L197" s="1"/>
    </row>
    <row r="198" spans="1:12">
      <c r="A198" s="1"/>
      <c r="B198" s="1"/>
      <c r="C198" s="1" t="s">
        <v>10</v>
      </c>
      <c r="D198" s="7">
        <f>SUM(D196:D197)</f>
        <v>7763</v>
      </c>
      <c r="E198" s="7">
        <f>SUM(E196:E197)</f>
        <v>110.33</v>
      </c>
      <c r="F198" s="7">
        <f>SUM(F196:F197)</f>
        <v>104.08</v>
      </c>
      <c r="G198" s="7">
        <f>SUM(G196:G197)</f>
        <v>0.62</v>
      </c>
      <c r="H198" s="7">
        <f>SUM(H196:H197)</f>
        <v>0</v>
      </c>
      <c r="I198" s="7"/>
      <c r="J198" s="7">
        <f>SUM(D198:H198)</f>
        <v>7978.03</v>
      </c>
      <c r="K198" s="1"/>
      <c r="L198" s="1"/>
    </row>
    <row r="199" spans="1:12">
      <c r="A199" s="1"/>
      <c r="B199" s="1"/>
      <c r="C199" s="1"/>
      <c r="D199" s="7"/>
      <c r="E199" s="7"/>
      <c r="F199" s="7"/>
      <c r="G199" s="7"/>
      <c r="H199" s="7"/>
      <c r="I199" s="7"/>
      <c r="J199" s="7"/>
      <c r="K199" s="1"/>
      <c r="L199" s="1"/>
    </row>
    <row r="200" spans="1:12">
      <c r="A200" s="1" t="s">
        <v>14</v>
      </c>
      <c r="B200" s="1"/>
      <c r="C200" s="1"/>
      <c r="D200" s="7"/>
      <c r="E200" s="7"/>
      <c r="F200" s="7"/>
      <c r="G200" s="7"/>
      <c r="H200" s="7"/>
      <c r="I200" s="7"/>
      <c r="J200" s="7"/>
      <c r="K200" s="1"/>
      <c r="L200" s="1"/>
    </row>
    <row r="201" spans="1:12">
      <c r="A201" s="1"/>
      <c r="B201" s="1"/>
      <c r="C201" s="1"/>
      <c r="D201" s="7"/>
      <c r="E201" s="7"/>
      <c r="F201" s="7"/>
      <c r="G201" s="7"/>
      <c r="H201" s="7"/>
      <c r="I201" s="7"/>
      <c r="J201" s="7"/>
      <c r="K201" s="1"/>
      <c r="L201" s="1"/>
    </row>
    <row r="202" spans="1:12">
      <c r="A202" s="1">
        <v>53</v>
      </c>
      <c r="B202" s="1" t="s">
        <v>48</v>
      </c>
      <c r="C202" s="1" t="s">
        <v>12</v>
      </c>
      <c r="D202" s="7">
        <v>11269.75</v>
      </c>
      <c r="E202" s="7">
        <v>160.06</v>
      </c>
      <c r="F202" s="7">
        <v>92.33</v>
      </c>
      <c r="G202" s="7">
        <v>38.229999999999997</v>
      </c>
      <c r="H202" s="7">
        <v>23.85</v>
      </c>
      <c r="I202" s="7"/>
      <c r="J202" s="7">
        <f>SUM(D202:H202)</f>
        <v>11584.22</v>
      </c>
      <c r="K202" s="1"/>
      <c r="L202" s="1"/>
    </row>
    <row r="203" spans="1:12">
      <c r="A203" s="1"/>
      <c r="B203" s="1"/>
      <c r="C203" s="1" t="s">
        <v>35</v>
      </c>
      <c r="D203" s="7">
        <v>492.27</v>
      </c>
      <c r="E203" s="7">
        <v>7.21</v>
      </c>
      <c r="F203" s="7">
        <v>4.16</v>
      </c>
      <c r="G203" s="7">
        <v>1.72</v>
      </c>
      <c r="H203" s="7">
        <v>1.08</v>
      </c>
      <c r="I203" s="7"/>
      <c r="J203" s="7">
        <f>SUM(D203:H203)</f>
        <v>506.44</v>
      </c>
      <c r="K203" s="1"/>
      <c r="L203" s="1"/>
    </row>
    <row r="204" spans="1:12">
      <c r="A204" s="1"/>
      <c r="B204" s="1"/>
      <c r="C204" s="1" t="s">
        <v>10</v>
      </c>
      <c r="D204" s="7">
        <f>SUM(D202:D203)</f>
        <v>11762.02</v>
      </c>
      <c r="E204" s="7">
        <f>SUM(E202:E203)</f>
        <v>167.27</v>
      </c>
      <c r="F204" s="7">
        <f>SUM(F202:F203)</f>
        <v>96.49</v>
      </c>
      <c r="G204" s="7">
        <f>SUM(G202:G203)</f>
        <v>39.949999999999996</v>
      </c>
      <c r="H204" s="7">
        <f>SUM(H202:H203)</f>
        <v>24.93</v>
      </c>
      <c r="I204" s="7"/>
      <c r="J204" s="7">
        <f>SUM(D204:H204)</f>
        <v>12090.660000000002</v>
      </c>
      <c r="K204" s="1"/>
      <c r="L204" s="1"/>
    </row>
    <row r="205" spans="1:12">
      <c r="A205" s="1"/>
      <c r="B205" s="1"/>
      <c r="C205" s="1"/>
      <c r="D205" s="7"/>
      <c r="E205" s="7"/>
      <c r="F205" s="7"/>
      <c r="G205" s="7"/>
      <c r="H205" s="7"/>
      <c r="I205" s="7"/>
      <c r="J205" s="7"/>
      <c r="K205" s="1"/>
      <c r="L205" s="1"/>
    </row>
    <row r="206" spans="1:12">
      <c r="A206" s="1" t="s">
        <v>14</v>
      </c>
      <c r="B206" s="1"/>
      <c r="C206" s="1"/>
      <c r="D206" s="7"/>
      <c r="E206" s="7"/>
      <c r="F206" s="7"/>
      <c r="G206" s="7"/>
      <c r="H206" s="7"/>
      <c r="I206" s="7"/>
      <c r="J206" s="7"/>
      <c r="K206" s="1"/>
      <c r="L206" s="1"/>
    </row>
    <row r="207" spans="1:12">
      <c r="A207" s="1"/>
      <c r="B207" s="1"/>
      <c r="C207" s="1"/>
      <c r="D207" s="7"/>
      <c r="E207" s="7"/>
      <c r="F207" s="7"/>
      <c r="G207" s="7"/>
      <c r="H207" s="7"/>
      <c r="I207" s="7"/>
      <c r="J207" s="7"/>
      <c r="K207" s="1"/>
      <c r="L207" s="1"/>
    </row>
    <row r="208" spans="1:12">
      <c r="A208" s="1">
        <v>54</v>
      </c>
      <c r="B208" s="1" t="s">
        <v>49</v>
      </c>
      <c r="C208" s="1" t="s">
        <v>12</v>
      </c>
      <c r="D208" s="7">
        <v>5877.66</v>
      </c>
      <c r="E208" s="7">
        <v>309.14</v>
      </c>
      <c r="F208" s="7">
        <v>281.64999999999998</v>
      </c>
      <c r="G208" s="7">
        <v>188.04</v>
      </c>
      <c r="H208" s="7">
        <v>0</v>
      </c>
      <c r="I208" s="7"/>
      <c r="J208" s="7">
        <f>SUM(D208:H208)</f>
        <v>6656.49</v>
      </c>
      <c r="K208" s="1"/>
      <c r="L208" s="1"/>
    </row>
    <row r="209" spans="1:12">
      <c r="A209" s="1"/>
      <c r="B209" s="1"/>
      <c r="C209" s="1"/>
      <c r="D209" s="7"/>
      <c r="E209" s="7"/>
      <c r="F209" s="7"/>
      <c r="G209" s="7"/>
      <c r="H209" s="7"/>
      <c r="I209" s="7"/>
      <c r="J209" s="7"/>
      <c r="K209" s="1"/>
      <c r="L209" s="1"/>
    </row>
    <row r="210" spans="1:12">
      <c r="A210" s="1"/>
      <c r="B210" s="1"/>
      <c r="C210" s="1"/>
      <c r="D210" s="7"/>
      <c r="E210" s="7"/>
      <c r="F210" s="7"/>
      <c r="G210" s="7"/>
      <c r="H210" s="7"/>
      <c r="I210" s="7"/>
      <c r="J210" s="7"/>
      <c r="K210" s="1"/>
      <c r="L210" s="1"/>
    </row>
    <row r="211" spans="1:12">
      <c r="A211" s="1"/>
      <c r="B211" s="1"/>
      <c r="C211" s="1" t="s">
        <v>10</v>
      </c>
      <c r="D211" s="7">
        <f>SUM(D208:D209)</f>
        <v>5877.66</v>
      </c>
      <c r="E211" s="7">
        <f>SUM(E208:E209)</f>
        <v>309.14</v>
      </c>
      <c r="F211" s="7">
        <f>SUM(F208:F209)</f>
        <v>281.64999999999998</v>
      </c>
      <c r="G211" s="7">
        <f>SUM(G208:G209)</f>
        <v>188.04</v>
      </c>
      <c r="H211" s="7">
        <f>SUM(H208:H209)</f>
        <v>0</v>
      </c>
      <c r="I211" s="7"/>
      <c r="J211" s="7">
        <f>SUM(D211:H211)</f>
        <v>6656.49</v>
      </c>
      <c r="K211" s="1"/>
      <c r="L211" s="1"/>
    </row>
    <row r="212" spans="1:12">
      <c r="A212" s="1"/>
      <c r="B212" s="1"/>
      <c r="C212" s="1"/>
      <c r="D212" s="7"/>
      <c r="E212" s="7"/>
      <c r="F212" s="7"/>
      <c r="G212" s="7"/>
      <c r="H212" s="7"/>
      <c r="I212" s="7"/>
      <c r="J212" s="7"/>
      <c r="K212" s="1"/>
      <c r="L212" s="1"/>
    </row>
    <row r="213" spans="1:12">
      <c r="A213" s="1" t="s">
        <v>14</v>
      </c>
      <c r="B213" s="1"/>
      <c r="C213" s="1"/>
      <c r="D213" s="7"/>
      <c r="E213" s="7"/>
      <c r="F213" s="7"/>
      <c r="G213" s="7"/>
      <c r="H213" s="7"/>
      <c r="I213" s="7"/>
      <c r="J213" s="7"/>
      <c r="K213" s="1"/>
      <c r="L213" s="1"/>
    </row>
    <row r="214" spans="1:12">
      <c r="A214" s="1"/>
      <c r="B214" s="1"/>
      <c r="C214" s="1"/>
      <c r="D214" s="7"/>
      <c r="E214" s="7"/>
      <c r="F214" s="7"/>
      <c r="G214" s="7"/>
      <c r="H214" s="7"/>
      <c r="I214" s="7"/>
      <c r="J214" s="7"/>
      <c r="K214" s="1"/>
      <c r="L214" s="1"/>
    </row>
    <row r="215" spans="1:12">
      <c r="A215" s="1">
        <v>55</v>
      </c>
      <c r="B215" s="1" t="s">
        <v>50</v>
      </c>
      <c r="C215" s="1" t="s">
        <v>12</v>
      </c>
      <c r="D215" s="7">
        <v>8626.7800000000007</v>
      </c>
      <c r="E215" s="7">
        <v>381.04</v>
      </c>
      <c r="F215" s="7">
        <v>64.599999999999994</v>
      </c>
      <c r="G215" s="7">
        <v>4.75</v>
      </c>
      <c r="H215" s="7">
        <v>8.5399999999999991</v>
      </c>
      <c r="I215" s="7"/>
      <c r="J215" s="7">
        <f>SUM(D215:H215)</f>
        <v>9085.7100000000028</v>
      </c>
      <c r="K215" s="1"/>
      <c r="L215" s="1"/>
    </row>
    <row r="216" spans="1:12">
      <c r="A216" s="1"/>
      <c r="B216" s="1"/>
      <c r="C216" s="1" t="s">
        <v>13</v>
      </c>
      <c r="D216" s="7">
        <v>210.6</v>
      </c>
      <c r="E216" s="7">
        <v>9.4600000000000009</v>
      </c>
      <c r="F216" s="7">
        <v>1.1200000000000001</v>
      </c>
      <c r="G216" s="7">
        <v>0.09</v>
      </c>
      <c r="H216" s="7">
        <v>0.12</v>
      </c>
      <c r="I216" s="7"/>
      <c r="J216" s="7">
        <f>SUM(D216:H216)</f>
        <v>221.39000000000001</v>
      </c>
      <c r="K216" s="1"/>
      <c r="L216" s="1"/>
    </row>
    <row r="217" spans="1:12">
      <c r="A217" s="1"/>
      <c r="B217" s="1"/>
      <c r="C217" s="1" t="s">
        <v>10</v>
      </c>
      <c r="D217" s="7">
        <f>SUM(D215:D216)</f>
        <v>8837.380000000001</v>
      </c>
      <c r="E217" s="7">
        <f>SUM(E215:E216)</f>
        <v>390.5</v>
      </c>
      <c r="F217" s="7">
        <f>SUM(F215:F216)</f>
        <v>65.72</v>
      </c>
      <c r="G217" s="7">
        <f>SUM(G215:G216)</f>
        <v>4.84</v>
      </c>
      <c r="H217" s="7">
        <f>SUM(H215:H216)</f>
        <v>8.6599999999999984</v>
      </c>
      <c r="I217" s="7"/>
      <c r="J217" s="7">
        <f>SUM(D217:H217)</f>
        <v>9307.1</v>
      </c>
      <c r="K217" s="1"/>
      <c r="L217" s="1"/>
    </row>
    <row r="218" spans="1:12">
      <c r="A218" s="1"/>
      <c r="B218" s="1"/>
      <c r="C218" s="1"/>
      <c r="D218" s="7"/>
      <c r="E218" s="7"/>
      <c r="F218" s="7"/>
      <c r="G218" s="7"/>
      <c r="H218" s="7"/>
      <c r="I218" s="7"/>
      <c r="J218" s="7"/>
      <c r="K218" s="1"/>
      <c r="L218" s="1"/>
    </row>
    <row r="219" spans="1:12">
      <c r="A219" s="1" t="s">
        <v>14</v>
      </c>
      <c r="B219" s="1"/>
      <c r="C219" s="1"/>
      <c r="D219" s="7"/>
      <c r="E219" s="7"/>
      <c r="F219" s="7"/>
      <c r="G219" s="7"/>
      <c r="H219" s="7"/>
      <c r="I219" s="7"/>
      <c r="J219" s="7"/>
      <c r="K219" s="1"/>
      <c r="L219" s="1"/>
    </row>
    <row r="220" spans="1:12">
      <c r="A220" s="1"/>
      <c r="B220" s="1"/>
      <c r="C220" s="1"/>
      <c r="D220" s="7"/>
      <c r="E220" s="7"/>
      <c r="F220" s="7"/>
      <c r="G220" s="7"/>
      <c r="H220" s="7"/>
      <c r="I220" s="7"/>
      <c r="J220" s="7"/>
      <c r="K220" s="1"/>
      <c r="L220" s="1"/>
    </row>
    <row r="221" spans="1:12">
      <c r="A221" s="1">
        <v>56</v>
      </c>
      <c r="B221" s="1" t="s">
        <v>51</v>
      </c>
      <c r="C221" s="1" t="s">
        <v>12</v>
      </c>
      <c r="D221" s="7">
        <v>4538.83</v>
      </c>
      <c r="E221" s="7">
        <v>743.65</v>
      </c>
      <c r="F221" s="7">
        <v>68.86</v>
      </c>
      <c r="G221" s="7">
        <v>62.17</v>
      </c>
      <c r="H221" s="7">
        <v>1.34</v>
      </c>
      <c r="I221" s="7"/>
      <c r="J221" s="7">
        <f>SUM(D221:H221)</f>
        <v>5414.8499999999995</v>
      </c>
      <c r="K221" s="1"/>
      <c r="L221" s="1"/>
    </row>
    <row r="222" spans="1:12">
      <c r="A222" s="1"/>
      <c r="B222" s="1"/>
      <c r="C222" s="1" t="s">
        <v>13</v>
      </c>
      <c r="D222" s="7">
        <v>83.3</v>
      </c>
      <c r="E222" s="7">
        <v>14.62</v>
      </c>
      <c r="F222" s="7">
        <v>1.36</v>
      </c>
      <c r="G222" s="7">
        <v>1.23</v>
      </c>
      <c r="H222" s="7">
        <v>0.03</v>
      </c>
      <c r="I222" s="7"/>
      <c r="J222" s="7">
        <f>SUM(D222:H222)</f>
        <v>100.54</v>
      </c>
      <c r="K222" s="1"/>
      <c r="L222" s="1"/>
    </row>
    <row r="223" spans="1:12">
      <c r="A223" s="1"/>
      <c r="B223" s="1"/>
      <c r="C223" s="1" t="s">
        <v>10</v>
      </c>
      <c r="D223" s="7">
        <f>SUM(D221:D222)</f>
        <v>4622.13</v>
      </c>
      <c r="E223" s="7">
        <f>SUM(E221:E222)</f>
        <v>758.27</v>
      </c>
      <c r="F223" s="7">
        <f>SUM(F221:F222)</f>
        <v>70.22</v>
      </c>
      <c r="G223" s="7">
        <f>SUM(G221:G222)</f>
        <v>63.4</v>
      </c>
      <c r="H223" s="7">
        <f>SUM(H221:H222)</f>
        <v>1.37</v>
      </c>
      <c r="I223" s="7"/>
      <c r="J223" s="7">
        <f>SUM(D223:H223)</f>
        <v>5515.3899999999994</v>
      </c>
      <c r="K223" s="1"/>
      <c r="L223" s="1"/>
    </row>
    <row r="224" spans="1:12">
      <c r="A224" s="1"/>
      <c r="B224" s="1"/>
      <c r="C224" s="1"/>
      <c r="D224" s="7"/>
      <c r="E224" s="7"/>
      <c r="F224" s="7"/>
      <c r="G224" s="7"/>
      <c r="H224" s="7"/>
      <c r="I224" s="7"/>
      <c r="J224" s="7"/>
      <c r="K224" s="1"/>
      <c r="L224" s="1"/>
    </row>
    <row r="225" spans="1:12">
      <c r="A225" s="1" t="s">
        <v>14</v>
      </c>
      <c r="B225" s="1"/>
      <c r="C225" s="1"/>
      <c r="D225" s="7"/>
      <c r="E225" s="7"/>
      <c r="F225" s="7"/>
      <c r="G225" s="7"/>
      <c r="H225" s="7"/>
      <c r="I225" s="7"/>
      <c r="J225" s="7"/>
      <c r="K225" s="1"/>
      <c r="L225" s="1"/>
    </row>
    <row r="226" spans="1:12">
      <c r="A226" s="1"/>
      <c r="B226" s="1"/>
      <c r="C226" s="1"/>
      <c r="D226" s="7"/>
      <c r="E226" s="7"/>
      <c r="F226" s="7"/>
      <c r="G226" s="7"/>
      <c r="H226" s="7"/>
      <c r="I226" s="7"/>
      <c r="J226" s="7"/>
      <c r="K226" s="1"/>
      <c r="L226" s="1"/>
    </row>
    <row r="227" spans="1:12">
      <c r="A227" s="1">
        <v>57</v>
      </c>
      <c r="B227" s="1" t="s">
        <v>52</v>
      </c>
      <c r="C227" s="1" t="s">
        <v>12</v>
      </c>
      <c r="D227" s="7">
        <v>11431.99</v>
      </c>
      <c r="E227" s="7">
        <v>205.19</v>
      </c>
      <c r="F227" s="7">
        <v>122.49</v>
      </c>
      <c r="G227" s="7">
        <v>117.9</v>
      </c>
      <c r="H227" s="7">
        <v>97.43</v>
      </c>
      <c r="I227" s="7"/>
      <c r="J227" s="7">
        <f>SUM(D227:H227)</f>
        <v>11975</v>
      </c>
      <c r="K227" s="1"/>
      <c r="L227" s="1"/>
    </row>
    <row r="228" spans="1:12">
      <c r="A228" s="1"/>
      <c r="B228" s="1"/>
      <c r="C228" s="1" t="s">
        <v>13</v>
      </c>
      <c r="D228" s="7">
        <v>227.55</v>
      </c>
      <c r="E228" s="7">
        <v>4.63</v>
      </c>
      <c r="F228" s="7">
        <v>1.5</v>
      </c>
      <c r="G228" s="7">
        <v>1.49</v>
      </c>
      <c r="H228" s="7">
        <v>2.12</v>
      </c>
      <c r="I228" s="7"/>
      <c r="J228" s="7">
        <f>SUM(D228:H228)</f>
        <v>237.29000000000002</v>
      </c>
      <c r="K228" s="1"/>
      <c r="L228" s="1"/>
    </row>
    <row r="229" spans="1:12">
      <c r="A229" s="1"/>
      <c r="B229" s="1"/>
      <c r="C229" s="1" t="s">
        <v>10</v>
      </c>
      <c r="D229" s="7">
        <f>SUM(D227:D228)</f>
        <v>11659.539999999999</v>
      </c>
      <c r="E229" s="7">
        <f>SUM(E227:E228)</f>
        <v>209.82</v>
      </c>
      <c r="F229" s="7">
        <f>SUM(F227:F228)</f>
        <v>123.99</v>
      </c>
      <c r="G229" s="7">
        <f>SUM(G227:G228)</f>
        <v>119.39</v>
      </c>
      <c r="H229" s="7">
        <f>SUM(H227:H228)</f>
        <v>99.550000000000011</v>
      </c>
      <c r="I229" s="7"/>
      <c r="J229" s="7">
        <f>SUM(D229:H229)</f>
        <v>12212.289999999997</v>
      </c>
      <c r="K229" s="1"/>
      <c r="L229" s="1"/>
    </row>
    <row r="230" spans="1:12">
      <c r="A230" s="1"/>
      <c r="B230" s="1"/>
      <c r="C230" s="1"/>
      <c r="D230" s="7"/>
      <c r="E230" s="7"/>
      <c r="F230" s="7"/>
      <c r="G230" s="7"/>
      <c r="H230" s="7"/>
      <c r="I230" s="7"/>
      <c r="J230" s="7"/>
      <c r="K230" s="1"/>
      <c r="L230" s="1"/>
    </row>
    <row r="231" spans="1:12">
      <c r="A231" s="1" t="s">
        <v>14</v>
      </c>
      <c r="B231" s="1"/>
      <c r="C231" s="1"/>
      <c r="D231" s="7"/>
      <c r="E231" s="7"/>
      <c r="F231" s="7"/>
      <c r="G231" s="7"/>
      <c r="H231" s="7"/>
      <c r="I231" s="7"/>
      <c r="J231" s="7"/>
      <c r="K231" s="1"/>
      <c r="L231" s="1"/>
    </row>
    <row r="232" spans="1:12">
      <c r="A232" s="1"/>
      <c r="B232" s="1"/>
      <c r="C232" s="1"/>
      <c r="D232" s="7"/>
      <c r="E232" s="7"/>
      <c r="F232" s="7"/>
      <c r="G232" s="7"/>
      <c r="H232" s="7"/>
      <c r="I232" s="7"/>
      <c r="J232" s="7"/>
      <c r="K232" s="1"/>
      <c r="L232" s="1"/>
    </row>
    <row r="233" spans="1:12">
      <c r="A233" s="1">
        <v>58</v>
      </c>
      <c r="B233" s="1" t="s">
        <v>53</v>
      </c>
      <c r="C233" s="1" t="s">
        <v>12</v>
      </c>
      <c r="D233" s="7">
        <v>8990.42</v>
      </c>
      <c r="E233" s="7">
        <v>143.08000000000001</v>
      </c>
      <c r="F233" s="7">
        <v>0</v>
      </c>
      <c r="G233" s="7">
        <v>0</v>
      </c>
      <c r="H233" s="7">
        <v>0</v>
      </c>
      <c r="I233" s="7"/>
      <c r="J233" s="7">
        <f>SUM(D233:H233)</f>
        <v>9133.5</v>
      </c>
      <c r="K233" s="1"/>
      <c r="L233" s="1"/>
    </row>
    <row r="234" spans="1:12">
      <c r="A234" s="1"/>
      <c r="B234" s="1"/>
      <c r="C234" s="1" t="s">
        <v>13</v>
      </c>
      <c r="D234" s="7">
        <v>130.13</v>
      </c>
      <c r="E234" s="7">
        <v>0</v>
      </c>
      <c r="F234" s="7"/>
      <c r="G234" s="7"/>
      <c r="H234" s="7"/>
      <c r="I234" s="7"/>
      <c r="J234" s="7">
        <f>SUM(D234:H234)</f>
        <v>130.13</v>
      </c>
      <c r="K234" s="1"/>
      <c r="L234" s="1"/>
    </row>
    <row r="235" spans="1:12">
      <c r="A235" s="1"/>
      <c r="B235" s="1"/>
      <c r="C235" s="1" t="s">
        <v>10</v>
      </c>
      <c r="D235" s="7">
        <f>SUM(D233:D234)</f>
        <v>9120.5499999999993</v>
      </c>
      <c r="E235" s="7">
        <f>SUM(E233:E234)</f>
        <v>143.08000000000001</v>
      </c>
      <c r="F235" s="7">
        <f>SUM(F233:F234)</f>
        <v>0</v>
      </c>
      <c r="G235" s="7">
        <f>SUM(G233:G234)</f>
        <v>0</v>
      </c>
      <c r="H235" s="7">
        <f>SUM(H233:H234)</f>
        <v>0</v>
      </c>
      <c r="I235" s="7"/>
      <c r="J235" s="7">
        <f>SUM(D235:H235)</f>
        <v>9263.6299999999992</v>
      </c>
      <c r="K235" s="1"/>
      <c r="L235" s="1"/>
    </row>
    <row r="236" spans="1:12">
      <c r="A236" s="1"/>
      <c r="B236" s="1"/>
      <c r="C236" s="1"/>
      <c r="D236" s="7"/>
      <c r="E236" s="7"/>
      <c r="F236" s="7"/>
      <c r="G236" s="7"/>
      <c r="H236" s="7"/>
      <c r="I236" s="7"/>
      <c r="J236" s="7"/>
      <c r="K236" s="1"/>
      <c r="L236" s="1"/>
    </row>
    <row r="237" spans="1:12">
      <c r="A237" s="1" t="s">
        <v>14</v>
      </c>
      <c r="B237" s="1"/>
      <c r="C237" s="1"/>
      <c r="D237" s="7"/>
      <c r="E237" s="7"/>
      <c r="F237" s="7"/>
      <c r="G237" s="7"/>
      <c r="H237" s="7"/>
      <c r="I237" s="7"/>
      <c r="J237" s="7"/>
      <c r="K237" s="1"/>
      <c r="L237" s="1"/>
    </row>
    <row r="238" spans="1:12">
      <c r="A238" s="1"/>
      <c r="B238" s="1"/>
      <c r="C238" s="1"/>
      <c r="D238" s="7"/>
      <c r="E238" s="7"/>
      <c r="F238" s="7"/>
      <c r="G238" s="7"/>
      <c r="H238" s="7"/>
      <c r="I238" s="7"/>
      <c r="J238" s="7"/>
      <c r="K238" s="1"/>
      <c r="L238" s="1"/>
    </row>
    <row r="239" spans="1:12">
      <c r="A239" s="1">
        <v>59</v>
      </c>
      <c r="B239" s="1" t="s">
        <v>54</v>
      </c>
      <c r="C239" s="1" t="s">
        <v>12</v>
      </c>
      <c r="D239" s="7">
        <v>8410.44</v>
      </c>
      <c r="E239" s="7">
        <v>306.48</v>
      </c>
      <c r="F239" s="7">
        <v>95.14</v>
      </c>
      <c r="G239" s="7">
        <v>0</v>
      </c>
      <c r="H239" s="7">
        <v>0</v>
      </c>
      <c r="I239" s="7"/>
      <c r="J239" s="7">
        <f>SUM(D239:H239)</f>
        <v>8812.06</v>
      </c>
      <c r="K239" s="1"/>
      <c r="L239" s="1"/>
    </row>
    <row r="240" spans="1:12">
      <c r="A240" s="1"/>
      <c r="B240" s="1"/>
      <c r="C240" s="1" t="s">
        <v>35</v>
      </c>
      <c r="D240" s="7">
        <v>537.44000000000005</v>
      </c>
      <c r="E240" s="7">
        <v>17.37</v>
      </c>
      <c r="F240" s="7">
        <v>5.45</v>
      </c>
      <c r="G240" s="7">
        <v>0</v>
      </c>
      <c r="H240" s="7">
        <v>0</v>
      </c>
      <c r="I240" s="7"/>
      <c r="J240" s="7">
        <f>SUM(D240:H240)</f>
        <v>560.2600000000001</v>
      </c>
      <c r="K240" s="1"/>
      <c r="L240" s="1"/>
    </row>
    <row r="241" spans="1:12">
      <c r="A241" s="1"/>
      <c r="B241" s="1"/>
      <c r="C241" s="1" t="s">
        <v>10</v>
      </c>
      <c r="D241" s="7">
        <f>SUM(D239:D240)</f>
        <v>8947.880000000001</v>
      </c>
      <c r="E241" s="7">
        <f>SUM(E239:E240)</f>
        <v>323.85000000000002</v>
      </c>
      <c r="F241" s="7">
        <f>SUM(F239:F240)</f>
        <v>100.59</v>
      </c>
      <c r="G241" s="7">
        <f>SUM(G239:G240)</f>
        <v>0</v>
      </c>
      <c r="H241" s="7">
        <f>SUM(H239:H240)</f>
        <v>0</v>
      </c>
      <c r="I241" s="7"/>
      <c r="J241" s="7">
        <f>SUM(D241:H241)</f>
        <v>9372.3200000000015</v>
      </c>
      <c r="K241" s="1"/>
      <c r="L241" s="1"/>
    </row>
    <row r="242" spans="1:12">
      <c r="A242" s="1"/>
      <c r="B242" s="1"/>
      <c r="C242" s="1"/>
      <c r="D242" s="7"/>
      <c r="E242" s="7"/>
      <c r="F242" s="7"/>
      <c r="G242" s="7"/>
      <c r="H242" s="7"/>
      <c r="I242" s="7"/>
      <c r="J242" s="7"/>
      <c r="K242" s="1"/>
      <c r="L242" s="1"/>
    </row>
    <row r="243" spans="1:12">
      <c r="A243" s="1" t="s">
        <v>14</v>
      </c>
      <c r="B243" s="1"/>
      <c r="C243" s="1"/>
      <c r="D243" s="7"/>
      <c r="E243" s="7"/>
      <c r="F243" s="7"/>
      <c r="G243" s="7"/>
      <c r="H243" s="7"/>
      <c r="I243" s="7"/>
      <c r="J243" s="7"/>
      <c r="K243" s="1"/>
      <c r="L243" s="1"/>
    </row>
    <row r="244" spans="1:12">
      <c r="A244" s="1"/>
      <c r="B244" s="1"/>
      <c r="C244" s="1"/>
      <c r="D244" s="7"/>
      <c r="E244" s="7"/>
      <c r="F244" s="7"/>
      <c r="G244" s="7"/>
      <c r="H244" s="7"/>
      <c r="I244" s="7"/>
      <c r="J244" s="7"/>
      <c r="K244" s="1"/>
      <c r="L244" s="1"/>
    </row>
    <row r="245" spans="1:12">
      <c r="A245" s="1">
        <v>60</v>
      </c>
      <c r="B245" s="1" t="s">
        <v>55</v>
      </c>
      <c r="C245" s="1" t="s">
        <v>12</v>
      </c>
      <c r="D245" s="7">
        <v>26647.95</v>
      </c>
      <c r="E245" s="7">
        <v>1168.08</v>
      </c>
      <c r="F245" s="7">
        <v>676.25</v>
      </c>
      <c r="G245" s="7">
        <v>555.37</v>
      </c>
      <c r="H245" s="7">
        <v>185.17</v>
      </c>
      <c r="I245" s="7"/>
      <c r="J245" s="7">
        <f>SUM(D245:H245)</f>
        <v>29232.819999999996</v>
      </c>
      <c r="K245" s="1"/>
      <c r="L245" s="1"/>
    </row>
    <row r="246" spans="1:12">
      <c r="A246" s="1"/>
      <c r="B246" s="1"/>
      <c r="C246" s="1"/>
      <c r="D246" s="7"/>
      <c r="E246" s="7"/>
      <c r="F246" s="7"/>
      <c r="G246" s="7"/>
      <c r="H246" s="7"/>
      <c r="I246" s="7"/>
      <c r="J246" s="7"/>
      <c r="K246" s="1"/>
      <c r="L246" s="1"/>
    </row>
    <row r="247" spans="1:12">
      <c r="A247" s="1"/>
      <c r="B247" s="1"/>
      <c r="C247" s="1" t="s">
        <v>10</v>
      </c>
      <c r="D247" s="7">
        <f>SUM(D245:D246)</f>
        <v>26647.95</v>
      </c>
      <c r="E247" s="7">
        <f>SUM(E245:E246)</f>
        <v>1168.08</v>
      </c>
      <c r="F247" s="7">
        <f>SUM(F245:F246)</f>
        <v>676.25</v>
      </c>
      <c r="G247" s="7">
        <f>SUM(G245:G246)</f>
        <v>555.37</v>
      </c>
      <c r="H247" s="7">
        <f>SUM(H245:H246)</f>
        <v>185.17</v>
      </c>
      <c r="I247" s="7"/>
      <c r="J247" s="7">
        <f>SUM(D247:H247)</f>
        <v>29232.819999999996</v>
      </c>
      <c r="K247" s="1"/>
      <c r="L247" s="1"/>
    </row>
    <row r="248" spans="1:12">
      <c r="A248" s="1"/>
      <c r="B248" s="1"/>
      <c r="C248" s="1"/>
      <c r="D248" s="7"/>
      <c r="E248" s="7"/>
      <c r="F248" s="7"/>
      <c r="G248" s="7"/>
      <c r="H248" s="7"/>
      <c r="I248" s="7"/>
      <c r="J248" s="7"/>
      <c r="K248" s="1"/>
      <c r="L248" s="1"/>
    </row>
    <row r="249" spans="1:12">
      <c r="A249" s="1" t="s">
        <v>14</v>
      </c>
      <c r="B249" s="1"/>
      <c r="C249" s="1"/>
      <c r="D249" s="7"/>
      <c r="E249" s="7"/>
      <c r="F249" s="7"/>
      <c r="G249" s="7"/>
      <c r="H249" s="7"/>
      <c r="I249" s="7"/>
      <c r="J249" s="7"/>
      <c r="K249" s="1"/>
      <c r="L249" s="1"/>
    </row>
    <row r="250" spans="1:12">
      <c r="A250" s="1"/>
      <c r="B250" s="1"/>
      <c r="C250" s="1"/>
      <c r="D250" s="7"/>
      <c r="E250" s="7"/>
      <c r="F250" s="7"/>
      <c r="G250" s="7"/>
      <c r="H250" s="7"/>
      <c r="I250" s="7"/>
      <c r="J250" s="7"/>
      <c r="K250" s="1"/>
      <c r="L250" s="1"/>
    </row>
    <row r="251" spans="1:12">
      <c r="A251" s="1">
        <v>61</v>
      </c>
      <c r="B251" s="1" t="s">
        <v>56</v>
      </c>
      <c r="C251" s="1" t="s">
        <v>12</v>
      </c>
      <c r="D251" s="7">
        <v>6106.12</v>
      </c>
      <c r="E251" s="7">
        <v>139.18</v>
      </c>
      <c r="F251" s="7">
        <v>71.180000000000007</v>
      </c>
      <c r="G251" s="7">
        <v>50.98</v>
      </c>
      <c r="H251" s="7">
        <v>49.61</v>
      </c>
      <c r="I251" s="7"/>
      <c r="J251" s="7">
        <f>SUM(D251:H251)</f>
        <v>6417.07</v>
      </c>
      <c r="K251" s="1"/>
      <c r="L251" s="1"/>
    </row>
    <row r="252" spans="1:12">
      <c r="A252" s="1"/>
      <c r="B252" s="1"/>
      <c r="C252" s="1" t="s">
        <v>13</v>
      </c>
      <c r="D252" s="7">
        <v>98.47</v>
      </c>
      <c r="E252" s="7">
        <v>2.29</v>
      </c>
      <c r="F252" s="7">
        <v>1.25</v>
      </c>
      <c r="G252" s="7">
        <v>0.91</v>
      </c>
      <c r="H252" s="7">
        <v>0.95</v>
      </c>
      <c r="I252" s="7"/>
      <c r="J252" s="7">
        <f>SUM(D252:H252)</f>
        <v>103.87</v>
      </c>
      <c r="K252" s="1"/>
      <c r="L252" s="1"/>
    </row>
    <row r="253" spans="1:12">
      <c r="A253" s="1"/>
      <c r="B253" s="1"/>
      <c r="C253" s="1" t="s">
        <v>10</v>
      </c>
      <c r="D253" s="7">
        <f>SUM(D251:D252)</f>
        <v>6204.59</v>
      </c>
      <c r="E253" s="7">
        <f>SUM(E251:E252)</f>
        <v>141.47</v>
      </c>
      <c r="F253" s="7">
        <f>SUM(F251:F252)</f>
        <v>72.430000000000007</v>
      </c>
      <c r="G253" s="7">
        <f>SUM(G251:G252)</f>
        <v>51.889999999999993</v>
      </c>
      <c r="H253" s="7">
        <f>SUM(H251:H252)</f>
        <v>50.56</v>
      </c>
      <c r="I253" s="7"/>
      <c r="J253" s="7">
        <f>SUM(D253:H253)</f>
        <v>6520.9400000000014</v>
      </c>
      <c r="K253" s="1"/>
      <c r="L253" s="1"/>
    </row>
    <row r="254" spans="1:12">
      <c r="A254" s="1"/>
      <c r="B254" s="1"/>
      <c r="C254" s="1"/>
      <c r="D254" s="7"/>
      <c r="E254" s="7"/>
      <c r="F254" s="7"/>
      <c r="G254" s="7"/>
      <c r="H254" s="7"/>
      <c r="I254" s="7"/>
      <c r="J254" s="7"/>
      <c r="K254" s="1"/>
      <c r="L254" s="1"/>
    </row>
    <row r="255" spans="1:12">
      <c r="A255" s="1" t="s">
        <v>14</v>
      </c>
      <c r="B255" s="1"/>
      <c r="C255" s="1"/>
      <c r="D255" s="7"/>
      <c r="E255" s="7"/>
      <c r="F255" s="7"/>
      <c r="G255" s="7"/>
      <c r="H255" s="7"/>
      <c r="I255" s="7"/>
      <c r="J255" s="7"/>
      <c r="K255" s="1"/>
      <c r="L255" s="1"/>
    </row>
    <row r="256" spans="1:12">
      <c r="A256" s="1"/>
      <c r="B256" s="1"/>
      <c r="C256" s="1"/>
      <c r="D256" s="7"/>
      <c r="E256" s="7"/>
      <c r="F256" s="7"/>
      <c r="G256" s="7"/>
      <c r="H256" s="7"/>
      <c r="I256" s="7"/>
      <c r="J256" s="7"/>
      <c r="K256" s="1"/>
      <c r="L256" s="1"/>
    </row>
    <row r="257" spans="1:12">
      <c r="A257" s="1">
        <v>62</v>
      </c>
      <c r="B257" s="1" t="s">
        <v>57</v>
      </c>
      <c r="C257" s="1" t="s">
        <v>12</v>
      </c>
      <c r="D257" s="7">
        <v>3849.87</v>
      </c>
      <c r="E257" s="7">
        <v>225.7</v>
      </c>
      <c r="F257" s="7">
        <v>46.74</v>
      </c>
      <c r="G257" s="7">
        <v>0</v>
      </c>
      <c r="H257" s="7">
        <v>0</v>
      </c>
      <c r="I257" s="7"/>
      <c r="J257" s="7">
        <f>SUM(D257:H257)</f>
        <v>4122.3099999999995</v>
      </c>
      <c r="K257" s="1"/>
      <c r="L257" s="1"/>
    </row>
    <row r="258" spans="1:12">
      <c r="A258" s="1"/>
      <c r="B258" s="1"/>
      <c r="C258" s="1" t="s">
        <v>13</v>
      </c>
      <c r="D258" s="7">
        <v>90.84</v>
      </c>
      <c r="E258" s="7">
        <v>5.44</v>
      </c>
      <c r="F258" s="7">
        <v>1.0900000000000001</v>
      </c>
      <c r="G258" s="7">
        <v>0</v>
      </c>
      <c r="H258" s="7">
        <v>0</v>
      </c>
      <c r="I258" s="7"/>
      <c r="J258" s="7">
        <f>SUM(D258:H258)</f>
        <v>97.37</v>
      </c>
      <c r="K258" s="1"/>
      <c r="L258" s="1"/>
    </row>
    <row r="259" spans="1:12">
      <c r="A259" s="1"/>
      <c r="B259" s="1"/>
      <c r="C259" s="1" t="s">
        <v>10</v>
      </c>
      <c r="D259" s="7">
        <f>SUM(D257:D258)</f>
        <v>3940.71</v>
      </c>
      <c r="E259" s="7">
        <f>SUM(E257:E258)</f>
        <v>231.14</v>
      </c>
      <c r="F259" s="7">
        <f>SUM(F257:F258)</f>
        <v>47.830000000000005</v>
      </c>
      <c r="G259" s="7">
        <f>SUM(G257:G258)</f>
        <v>0</v>
      </c>
      <c r="H259" s="7">
        <f>SUM(H257:H258)</f>
        <v>0</v>
      </c>
      <c r="I259" s="7"/>
      <c r="J259" s="7">
        <f>SUM(D259:H259)</f>
        <v>4219.68</v>
      </c>
      <c r="K259" s="1"/>
      <c r="L259" s="1"/>
    </row>
    <row r="260" spans="1:12">
      <c r="A260" s="1"/>
      <c r="B260" s="1"/>
      <c r="C260" s="1"/>
      <c r="D260" s="7"/>
      <c r="E260" s="7"/>
      <c r="F260" s="7"/>
      <c r="G260" s="7"/>
      <c r="H260" s="7"/>
      <c r="I260" s="7"/>
      <c r="J260" s="7"/>
      <c r="K260" s="1"/>
      <c r="L260" s="1"/>
    </row>
    <row r="261" spans="1:12">
      <c r="A261" s="1" t="s">
        <v>14</v>
      </c>
      <c r="B261" s="1"/>
      <c r="C261" s="1"/>
      <c r="D261" s="7"/>
      <c r="E261" s="7"/>
      <c r="F261" s="7"/>
      <c r="G261" s="7"/>
      <c r="H261" s="7"/>
      <c r="I261" s="7"/>
      <c r="J261" s="7"/>
      <c r="K261" s="1"/>
      <c r="L261" s="1"/>
    </row>
    <row r="262" spans="1:12">
      <c r="A262" s="1"/>
      <c r="B262" s="1"/>
      <c r="C262" s="1"/>
      <c r="D262" s="7"/>
      <c r="E262" s="7"/>
      <c r="F262" s="7"/>
      <c r="G262" s="7"/>
      <c r="H262" s="7"/>
      <c r="I262" s="7"/>
      <c r="J262" s="7"/>
      <c r="K262" s="1"/>
      <c r="L262" s="1"/>
    </row>
    <row r="263" spans="1:12">
      <c r="A263" s="1">
        <v>63</v>
      </c>
      <c r="B263" s="1" t="s">
        <v>58</v>
      </c>
      <c r="C263" s="1" t="s">
        <v>12</v>
      </c>
      <c r="D263" s="7">
        <v>6329.86</v>
      </c>
      <c r="E263" s="7">
        <v>996.38</v>
      </c>
      <c r="F263" s="7">
        <v>256.7</v>
      </c>
      <c r="G263" s="7">
        <v>15.86</v>
      </c>
      <c r="H263" s="7">
        <v>0</v>
      </c>
      <c r="I263" s="7"/>
      <c r="J263" s="7">
        <f>SUM(D263:H263)</f>
        <v>7598.7999999999993</v>
      </c>
      <c r="K263" s="1"/>
      <c r="L263" s="1"/>
    </row>
    <row r="264" spans="1:12">
      <c r="A264" s="1"/>
      <c r="B264" s="1"/>
      <c r="C264" s="1" t="s">
        <v>13</v>
      </c>
      <c r="D264" s="7">
        <v>285.98</v>
      </c>
      <c r="E264" s="7">
        <v>95.87</v>
      </c>
      <c r="F264" s="7">
        <v>26.65</v>
      </c>
      <c r="G264" s="7">
        <v>1.64</v>
      </c>
      <c r="H264" s="7">
        <v>0</v>
      </c>
      <c r="I264" s="7"/>
      <c r="J264" s="7">
        <f>SUM(D264:H264)</f>
        <v>410.14</v>
      </c>
      <c r="K264" s="1"/>
      <c r="L264" s="1"/>
    </row>
    <row r="265" spans="1:12">
      <c r="A265" s="1"/>
      <c r="B265" s="1"/>
      <c r="C265" s="1" t="s">
        <v>10</v>
      </c>
      <c r="D265" s="7">
        <f>SUM(D263:D264)</f>
        <v>6615.84</v>
      </c>
      <c r="E265" s="7">
        <f>SUM(E263:E264)</f>
        <v>1092.25</v>
      </c>
      <c r="F265" s="7">
        <f>SUM(F263:F264)</f>
        <v>283.34999999999997</v>
      </c>
      <c r="G265" s="7">
        <f>SUM(G263:G264)</f>
        <v>17.5</v>
      </c>
      <c r="H265" s="7">
        <f>SUM(H263:H264)</f>
        <v>0</v>
      </c>
      <c r="I265" s="7"/>
      <c r="J265" s="7">
        <f>SUM(D265:H265)</f>
        <v>8008.9400000000005</v>
      </c>
      <c r="K265" s="1"/>
      <c r="L265" s="1"/>
    </row>
    <row r="266" spans="1:12">
      <c r="A266" s="1"/>
      <c r="B266" s="1"/>
      <c r="C266" s="1"/>
      <c r="D266" s="7"/>
      <c r="E266" s="7"/>
      <c r="F266" s="7"/>
      <c r="G266" s="7"/>
      <c r="H266" s="7"/>
      <c r="I266" s="7"/>
      <c r="J266" s="7"/>
      <c r="K266" s="1"/>
      <c r="L266" s="1"/>
    </row>
    <row r="267" spans="1:12">
      <c r="A267" s="1" t="s">
        <v>14</v>
      </c>
      <c r="B267" s="4"/>
      <c r="C267" s="4"/>
      <c r="D267" s="5"/>
      <c r="E267" s="5"/>
      <c r="F267" s="5"/>
      <c r="G267" s="5"/>
      <c r="H267" s="6"/>
      <c r="I267" s="6"/>
      <c r="J267" s="5"/>
      <c r="K267" s="1"/>
      <c r="L267" s="1"/>
    </row>
    <row r="268" spans="1:12">
      <c r="A268" s="1"/>
      <c r="B268" s="1"/>
      <c r="C268" s="1"/>
      <c r="D268" s="7"/>
      <c r="E268" s="7"/>
      <c r="F268" s="7"/>
      <c r="G268" s="7"/>
      <c r="H268" s="7"/>
      <c r="I268" s="7"/>
      <c r="J268" s="7"/>
      <c r="K268" s="1"/>
      <c r="L268" s="1"/>
    </row>
    <row r="269" spans="1:12">
      <c r="A269" s="1">
        <v>64</v>
      </c>
      <c r="B269" s="1" t="s">
        <v>59</v>
      </c>
      <c r="C269" s="1" t="s">
        <v>12</v>
      </c>
      <c r="D269" s="7">
        <v>26108.31</v>
      </c>
      <c r="E269" s="7">
        <v>1189.94</v>
      </c>
      <c r="F269" s="7">
        <v>485.52</v>
      </c>
      <c r="G269" s="7">
        <v>239.56</v>
      </c>
      <c r="H269" s="7">
        <v>49.8</v>
      </c>
      <c r="I269" s="7"/>
      <c r="J269" s="7">
        <f>SUM(D269:H269)</f>
        <v>28073.13</v>
      </c>
      <c r="K269" s="1"/>
      <c r="L269" s="1"/>
    </row>
    <row r="270" spans="1:12">
      <c r="A270" s="1"/>
      <c r="B270" s="1"/>
      <c r="C270" s="1"/>
      <c r="D270" s="7"/>
      <c r="E270" s="7"/>
      <c r="F270" s="7"/>
      <c r="G270" s="7"/>
      <c r="H270" s="7"/>
      <c r="I270" s="7"/>
      <c r="J270" s="7"/>
      <c r="K270" s="1"/>
      <c r="L270" s="1"/>
    </row>
    <row r="271" spans="1:12">
      <c r="A271" s="1"/>
      <c r="B271" s="1"/>
      <c r="C271" s="1" t="s">
        <v>10</v>
      </c>
      <c r="D271" s="7">
        <f>SUM(D269:D270)</f>
        <v>26108.31</v>
      </c>
      <c r="E271" s="7">
        <f>SUM(E269:E270)</f>
        <v>1189.94</v>
      </c>
      <c r="F271" s="7">
        <f>SUM(F269:F270)</f>
        <v>485.52</v>
      </c>
      <c r="G271" s="7">
        <f>SUM(G269:G270)</f>
        <v>239.56</v>
      </c>
      <c r="H271" s="7">
        <f>SUM(H269:H270)</f>
        <v>49.8</v>
      </c>
      <c r="I271" s="7"/>
      <c r="J271" s="7">
        <f>SUM(D271:H271)</f>
        <v>28073.13</v>
      </c>
      <c r="K271" s="1"/>
      <c r="L271" s="1"/>
    </row>
    <row r="272" spans="1:12">
      <c r="A272" s="1"/>
      <c r="B272" s="1"/>
      <c r="C272" s="1"/>
      <c r="D272" s="7"/>
      <c r="E272" s="7"/>
      <c r="F272" s="7"/>
      <c r="G272" s="7"/>
      <c r="H272" s="7"/>
      <c r="I272" s="7"/>
      <c r="J272" s="7"/>
      <c r="K272" s="1"/>
      <c r="L272" s="1"/>
    </row>
    <row r="273" spans="1:12">
      <c r="A273" s="1" t="s">
        <v>14</v>
      </c>
      <c r="B273" s="1"/>
      <c r="C273" s="1"/>
      <c r="D273" s="7"/>
      <c r="E273" s="7"/>
      <c r="F273" s="7"/>
      <c r="G273" s="7"/>
      <c r="H273" s="7"/>
      <c r="I273" s="7"/>
      <c r="J273" s="7"/>
      <c r="K273" s="1"/>
      <c r="L273" s="1"/>
    </row>
    <row r="274" spans="1:12">
      <c r="A274" s="1"/>
      <c r="B274" s="1"/>
      <c r="C274" s="1"/>
      <c r="D274" s="7"/>
      <c r="E274" s="7"/>
      <c r="F274" s="7"/>
      <c r="G274" s="7"/>
      <c r="H274" s="7"/>
      <c r="I274" s="7"/>
      <c r="J274" s="7"/>
      <c r="K274" s="1"/>
      <c r="L274" s="1"/>
    </row>
    <row r="275" spans="1:12">
      <c r="A275" s="1">
        <v>65</v>
      </c>
      <c r="B275" s="1" t="s">
        <v>60</v>
      </c>
      <c r="C275" s="1" t="s">
        <v>12</v>
      </c>
      <c r="D275" s="7">
        <v>3942.48</v>
      </c>
      <c r="E275" s="7">
        <v>148.16</v>
      </c>
      <c r="F275" s="7">
        <v>114.9</v>
      </c>
      <c r="G275" s="7">
        <v>0</v>
      </c>
      <c r="H275" s="7">
        <v>0</v>
      </c>
      <c r="I275" s="7"/>
      <c r="J275" s="7">
        <f>SUM(D275:H275)</f>
        <v>4205.54</v>
      </c>
      <c r="K275" s="1"/>
      <c r="L275" s="1"/>
    </row>
    <row r="276" spans="1:12">
      <c r="A276" s="1"/>
      <c r="B276" s="1"/>
      <c r="C276" s="1" t="s">
        <v>13</v>
      </c>
      <c r="D276" s="1"/>
      <c r="E276" s="1"/>
      <c r="F276" s="1"/>
      <c r="G276" s="1">
        <v>0</v>
      </c>
      <c r="H276" s="1">
        <v>0</v>
      </c>
      <c r="I276" s="1"/>
      <c r="J276" s="7">
        <f>SUM(D276:H276)</f>
        <v>0</v>
      </c>
      <c r="K276" s="1"/>
      <c r="L276" s="1"/>
    </row>
    <row r="277" spans="1:12">
      <c r="A277" s="1"/>
      <c r="B277" s="1"/>
      <c r="C277" s="1" t="s">
        <v>10</v>
      </c>
      <c r="D277" s="1">
        <f>SUM(D275:D276)</f>
        <v>3942.48</v>
      </c>
      <c r="E277" s="1">
        <f>SUM(E275:E276)</f>
        <v>148.16</v>
      </c>
      <c r="F277" s="1">
        <f>SUM(F275:F276)</f>
        <v>114.9</v>
      </c>
      <c r="G277" s="1">
        <f>SUM(G275:G276)</f>
        <v>0</v>
      </c>
      <c r="H277" s="1">
        <f>SUM(H275:H276)</f>
        <v>0</v>
      </c>
      <c r="I277" s="1"/>
      <c r="J277" s="7">
        <f>SUM(D277:H277)</f>
        <v>4205.54</v>
      </c>
      <c r="K277" s="1"/>
      <c r="L277" s="1"/>
    </row>
    <row r="278" spans="1:12">
      <c r="A278" s="1"/>
      <c r="B278" s="1"/>
      <c r="C278" s="1"/>
      <c r="D278" s="7"/>
      <c r="E278" s="7"/>
      <c r="F278" s="7"/>
      <c r="G278" s="7"/>
      <c r="H278" s="7"/>
      <c r="I278" s="7"/>
      <c r="J278" s="7"/>
      <c r="K278" s="1"/>
      <c r="L278" s="1"/>
    </row>
    <row r="279" spans="1:12">
      <c r="A279" s="1" t="s">
        <v>14</v>
      </c>
      <c r="B279" s="1"/>
      <c r="C279" s="1"/>
      <c r="D279" s="7"/>
      <c r="E279" s="7"/>
      <c r="F279" s="7"/>
      <c r="G279" s="7"/>
      <c r="H279" s="7"/>
      <c r="I279" s="7"/>
      <c r="J279" s="7"/>
      <c r="K279" s="1"/>
      <c r="L279" s="1"/>
    </row>
    <row r="280" spans="1:12">
      <c r="A280" s="1"/>
      <c r="B280" s="1"/>
      <c r="C280" s="1"/>
      <c r="D280" s="7"/>
      <c r="E280" s="7"/>
      <c r="F280" s="7"/>
      <c r="G280" s="7"/>
      <c r="H280" s="7"/>
      <c r="I280" s="7"/>
      <c r="J280" s="7"/>
      <c r="K280" s="1"/>
      <c r="L280" s="1"/>
    </row>
    <row r="281" spans="1:12">
      <c r="A281" s="1">
        <v>66</v>
      </c>
      <c r="B281" s="1" t="s">
        <v>61</v>
      </c>
      <c r="C281" s="1" t="s">
        <v>12</v>
      </c>
      <c r="D281" s="7">
        <v>8162.02</v>
      </c>
      <c r="E281" s="7">
        <v>1047.6099999999999</v>
      </c>
      <c r="F281" s="7">
        <v>489.44</v>
      </c>
      <c r="G281" s="7">
        <v>290.20999999999998</v>
      </c>
      <c r="H281" s="7">
        <v>302.64</v>
      </c>
      <c r="I281" s="7"/>
      <c r="J281" s="7">
        <f>SUM(D281:H281)</f>
        <v>10291.92</v>
      </c>
      <c r="K281" s="1"/>
      <c r="L281" s="1"/>
    </row>
    <row r="282" spans="1:12">
      <c r="A282" s="1"/>
      <c r="B282" s="1"/>
      <c r="C282" s="1" t="s">
        <v>13</v>
      </c>
      <c r="D282" s="7">
        <v>400.56</v>
      </c>
      <c r="E282" s="7">
        <v>93.48</v>
      </c>
      <c r="F282" s="7">
        <v>33.9</v>
      </c>
      <c r="G282" s="7">
        <v>20.12</v>
      </c>
      <c r="H282" s="7">
        <v>31.44</v>
      </c>
      <c r="I282" s="7"/>
      <c r="J282" s="7">
        <f>SUM(D282:H282)</f>
        <v>579.50000000000011</v>
      </c>
      <c r="K282" s="1"/>
      <c r="L282" s="1"/>
    </row>
    <row r="283" spans="1:12">
      <c r="A283" s="1"/>
      <c r="B283" s="1"/>
      <c r="C283" s="1" t="s">
        <v>10</v>
      </c>
      <c r="D283" s="7">
        <f>SUM(D281:D282)</f>
        <v>8562.58</v>
      </c>
      <c r="E283" s="7">
        <f>SUM(E281:E282)</f>
        <v>1141.0899999999999</v>
      </c>
      <c r="F283" s="7">
        <f>SUM(F281:F282)</f>
        <v>523.34</v>
      </c>
      <c r="G283" s="7">
        <f>SUM(G281:G282)</f>
        <v>310.33</v>
      </c>
      <c r="H283" s="7">
        <f>SUM(H281:H282)</f>
        <v>334.08</v>
      </c>
      <c r="I283" s="7"/>
      <c r="J283" s="7">
        <f>SUM(D283:H283)</f>
        <v>10871.42</v>
      </c>
      <c r="K283" s="1"/>
      <c r="L283" s="1"/>
    </row>
    <row r="284" spans="1:12">
      <c r="A284" s="1"/>
      <c r="B284" s="1"/>
      <c r="C284" s="1"/>
      <c r="D284" s="7"/>
      <c r="E284" s="7"/>
      <c r="F284" s="7"/>
      <c r="G284" s="7"/>
      <c r="H284" s="7"/>
      <c r="I284" s="7"/>
      <c r="J284" s="7"/>
      <c r="K284" s="1"/>
      <c r="L284" s="1"/>
    </row>
    <row r="285" spans="1:12">
      <c r="A285" s="1" t="s">
        <v>14</v>
      </c>
      <c r="B285" s="1"/>
      <c r="C285" s="1"/>
      <c r="D285" s="7"/>
      <c r="E285" s="7"/>
      <c r="F285" s="7"/>
      <c r="G285" s="7"/>
      <c r="H285" s="7"/>
      <c r="I285" s="7"/>
      <c r="J285" s="7"/>
      <c r="K285" s="1"/>
      <c r="L285" s="1"/>
    </row>
    <row r="286" spans="1:12">
      <c r="A286" s="1"/>
      <c r="B286" s="1"/>
      <c r="C286" s="1"/>
      <c r="D286" s="7"/>
      <c r="E286" s="7"/>
      <c r="F286" s="7"/>
      <c r="G286" s="7"/>
      <c r="H286" s="7"/>
      <c r="I286" s="7"/>
      <c r="J286" s="7"/>
      <c r="K286" s="1"/>
      <c r="L286" s="1"/>
    </row>
    <row r="287" spans="1:12">
      <c r="A287" s="1">
        <v>67</v>
      </c>
      <c r="B287" s="1" t="s">
        <v>62</v>
      </c>
      <c r="C287" s="1" t="s">
        <v>12</v>
      </c>
      <c r="D287" s="7">
        <v>2744.11</v>
      </c>
      <c r="E287" s="7">
        <v>162.93</v>
      </c>
      <c r="F287" s="7">
        <v>14.03</v>
      </c>
      <c r="G287" s="7">
        <v>9.75</v>
      </c>
      <c r="H287" s="7">
        <v>0</v>
      </c>
      <c r="I287" s="7"/>
      <c r="J287" s="7">
        <f>SUM(D287:H287)</f>
        <v>2930.82</v>
      </c>
      <c r="K287" s="1"/>
      <c r="L287" s="1"/>
    </row>
    <row r="288" spans="1:12">
      <c r="A288" s="1"/>
      <c r="B288" s="1"/>
      <c r="C288" s="1" t="s">
        <v>13</v>
      </c>
      <c r="D288" s="7">
        <v>117.87</v>
      </c>
      <c r="E288" s="7">
        <v>4.28</v>
      </c>
      <c r="F288" s="7">
        <v>0.33</v>
      </c>
      <c r="G288" s="7">
        <v>0.23</v>
      </c>
      <c r="H288" s="7">
        <v>0</v>
      </c>
      <c r="I288" s="7"/>
      <c r="J288" s="7">
        <f>SUM(D288:H288)</f>
        <v>122.71000000000001</v>
      </c>
      <c r="K288" s="1"/>
      <c r="L288" s="1"/>
    </row>
    <row r="289" spans="1:12">
      <c r="A289" s="1"/>
      <c r="B289" s="1"/>
      <c r="C289" s="1" t="s">
        <v>10</v>
      </c>
      <c r="D289" s="7">
        <f>SUM(D287:D288)</f>
        <v>2861.98</v>
      </c>
      <c r="E289" s="7">
        <f>SUM(E287:E288)</f>
        <v>167.21</v>
      </c>
      <c r="F289" s="7">
        <f>SUM(F287:F288)</f>
        <v>14.36</v>
      </c>
      <c r="G289" s="7">
        <f>SUM(G287:G288)</f>
        <v>9.98</v>
      </c>
      <c r="H289" s="7">
        <f>SUM(H287:H288)</f>
        <v>0</v>
      </c>
      <c r="I289" s="7"/>
      <c r="J289" s="7">
        <f>SUM(D289:H289)</f>
        <v>3053.53</v>
      </c>
      <c r="K289" s="1"/>
      <c r="L289" s="1"/>
    </row>
    <row r="290" spans="1:12">
      <c r="A290" s="1"/>
      <c r="B290" s="1"/>
      <c r="C290" s="1"/>
      <c r="D290" s="7"/>
      <c r="E290" s="7"/>
      <c r="F290" s="7"/>
      <c r="G290" s="7"/>
      <c r="H290" s="7"/>
      <c r="I290" s="7"/>
      <c r="J290" s="7"/>
      <c r="K290" s="1"/>
      <c r="L290" s="1"/>
    </row>
    <row r="291" spans="1:12">
      <c r="A291" s="1" t="s">
        <v>14</v>
      </c>
      <c r="B291" s="1"/>
      <c r="C291" s="1"/>
      <c r="D291" s="7"/>
      <c r="E291" s="7"/>
      <c r="F291" s="7"/>
      <c r="G291" s="7"/>
      <c r="H291" s="7"/>
      <c r="I291" s="7"/>
      <c r="J291" s="7"/>
      <c r="K291" s="1"/>
      <c r="L291" s="1"/>
    </row>
    <row r="292" spans="1:12">
      <c r="A292" s="1"/>
      <c r="B292" s="1"/>
      <c r="C292" s="1"/>
      <c r="D292" s="7"/>
      <c r="E292" s="7"/>
      <c r="F292" s="7"/>
      <c r="G292" s="7"/>
      <c r="H292" s="7"/>
      <c r="I292" s="7"/>
      <c r="J292" s="7"/>
      <c r="K292" s="1"/>
      <c r="L292" s="1"/>
    </row>
    <row r="293" spans="1:12">
      <c r="A293" s="1">
        <v>68</v>
      </c>
      <c r="B293" s="1" t="s">
        <v>63</v>
      </c>
      <c r="C293" s="1" t="s">
        <v>12</v>
      </c>
      <c r="D293" s="7">
        <v>6026.94</v>
      </c>
      <c r="E293" s="7">
        <v>94.99</v>
      </c>
      <c r="F293" s="7">
        <v>72.900000000000006</v>
      </c>
      <c r="G293" s="7">
        <v>73.08</v>
      </c>
      <c r="H293" s="7">
        <v>50.03</v>
      </c>
      <c r="I293" s="7"/>
      <c r="J293" s="7">
        <f>SUM(D293:H293)</f>
        <v>6317.9399999999987</v>
      </c>
      <c r="K293" s="1"/>
      <c r="L293" s="1"/>
    </row>
    <row r="294" spans="1:12">
      <c r="A294" s="1"/>
      <c r="B294" s="1"/>
      <c r="C294" s="1" t="s">
        <v>13</v>
      </c>
      <c r="D294" s="7">
        <v>236.21</v>
      </c>
      <c r="E294" s="7">
        <v>7.25</v>
      </c>
      <c r="F294" s="7">
        <v>4.0599999999999996</v>
      </c>
      <c r="G294" s="7">
        <v>4.0599999999999996</v>
      </c>
      <c r="H294" s="7">
        <v>4.17</v>
      </c>
      <c r="I294" s="7"/>
      <c r="J294" s="7">
        <f>SUM(D294:H294)</f>
        <v>255.75</v>
      </c>
      <c r="K294" s="1"/>
      <c r="L294" s="1"/>
    </row>
    <row r="295" spans="1:12">
      <c r="A295" s="1"/>
      <c r="B295" s="1"/>
      <c r="C295" s="1" t="s">
        <v>10</v>
      </c>
      <c r="D295" s="7">
        <f>SUM(D293:D294)</f>
        <v>6263.15</v>
      </c>
      <c r="E295" s="7">
        <f>SUM(E293:E294)</f>
        <v>102.24</v>
      </c>
      <c r="F295" s="7">
        <f>SUM(F293:F294)</f>
        <v>76.960000000000008</v>
      </c>
      <c r="G295" s="7">
        <f>SUM(G293:G294)</f>
        <v>77.14</v>
      </c>
      <c r="H295" s="7">
        <f>SUM(H293:H294)</f>
        <v>54.2</v>
      </c>
      <c r="I295" s="7"/>
      <c r="J295" s="7">
        <f>SUM(D295:H295)</f>
        <v>6573.69</v>
      </c>
      <c r="K295" s="1"/>
      <c r="L295" s="1"/>
    </row>
    <row r="296" spans="1:12">
      <c r="A296" s="1"/>
      <c r="B296" s="1"/>
      <c r="C296" s="1"/>
      <c r="D296" s="7"/>
      <c r="E296" s="7"/>
      <c r="F296" s="7"/>
      <c r="G296" s="7"/>
      <c r="H296" s="7"/>
      <c r="I296" s="7"/>
      <c r="J296" s="7"/>
      <c r="K296" s="1"/>
      <c r="L296" s="1"/>
    </row>
    <row r="297" spans="1:12">
      <c r="A297" s="1" t="s">
        <v>14</v>
      </c>
      <c r="B297" s="1"/>
      <c r="C297" s="1"/>
      <c r="D297" s="7"/>
      <c r="E297" s="7"/>
      <c r="F297" s="7"/>
      <c r="G297" s="7"/>
      <c r="H297" s="7"/>
      <c r="I297" s="7"/>
      <c r="J297" s="7"/>
      <c r="K297" s="1"/>
      <c r="L297" s="1"/>
    </row>
    <row r="298" spans="1:12">
      <c r="A298" s="1"/>
      <c r="B298" s="1"/>
      <c r="C298" s="1"/>
      <c r="D298" s="7"/>
      <c r="E298" s="7"/>
      <c r="F298" s="7"/>
      <c r="G298" s="7"/>
      <c r="H298" s="7"/>
      <c r="I298" s="7"/>
      <c r="J298" s="7"/>
      <c r="K298" s="1"/>
      <c r="L298" s="1"/>
    </row>
    <row r="299" spans="1:12">
      <c r="A299" s="1">
        <v>69</v>
      </c>
      <c r="B299" s="1" t="s">
        <v>64</v>
      </c>
      <c r="C299" s="1" t="s">
        <v>12</v>
      </c>
      <c r="D299" s="7">
        <v>7617.6</v>
      </c>
      <c r="E299" s="7">
        <v>246.73</v>
      </c>
      <c r="F299" s="7">
        <v>14.72</v>
      </c>
      <c r="G299" s="7">
        <v>9.49</v>
      </c>
      <c r="H299" s="7">
        <v>7.74</v>
      </c>
      <c r="I299" s="7"/>
      <c r="J299" s="7">
        <f>SUM(D299:H299)</f>
        <v>7896.28</v>
      </c>
      <c r="K299" s="1"/>
      <c r="L299" s="1"/>
    </row>
    <row r="300" spans="1:12">
      <c r="A300" s="1"/>
      <c r="B300" s="1"/>
      <c r="C300" s="1" t="s">
        <v>13</v>
      </c>
      <c r="D300" s="7"/>
      <c r="E300" s="7"/>
      <c r="F300" s="7">
        <v>0.31</v>
      </c>
      <c r="G300" s="7">
        <v>0.2</v>
      </c>
      <c r="H300" s="7">
        <v>0.16</v>
      </c>
      <c r="I300" s="7"/>
      <c r="J300" s="7">
        <f>SUM(D300:H300)</f>
        <v>0.67</v>
      </c>
      <c r="K300" s="1"/>
      <c r="L300" s="1"/>
    </row>
    <row r="301" spans="1:12">
      <c r="A301" s="1"/>
      <c r="B301" s="1"/>
      <c r="C301" s="1" t="s">
        <v>10</v>
      </c>
      <c r="D301" s="7">
        <f>SUM(D299:D300)</f>
        <v>7617.6</v>
      </c>
      <c r="E301" s="7">
        <f>SUM(E299:E300)</f>
        <v>246.73</v>
      </c>
      <c r="F301" s="7">
        <f>SUM(F299:F300)</f>
        <v>15.030000000000001</v>
      </c>
      <c r="G301" s="7">
        <f>SUM(G299:G300)</f>
        <v>9.69</v>
      </c>
      <c r="H301" s="7">
        <f>SUM(H299:H300)</f>
        <v>7.9</v>
      </c>
      <c r="I301" s="7"/>
      <c r="J301" s="7">
        <f>SUM(D301:H301)</f>
        <v>7896.9499999999989</v>
      </c>
      <c r="K301" s="1"/>
      <c r="L301" s="1"/>
    </row>
    <row r="302" spans="1:12">
      <c r="A302" s="1"/>
      <c r="B302" s="1"/>
      <c r="C302" s="1"/>
      <c r="D302" s="7"/>
      <c r="E302" s="7"/>
      <c r="F302" s="7"/>
      <c r="G302" s="7"/>
      <c r="H302" s="7"/>
      <c r="I302" s="7"/>
      <c r="J302" s="7"/>
      <c r="K302" s="1"/>
      <c r="L302" s="1"/>
    </row>
    <row r="303" spans="1:12">
      <c r="A303" s="1" t="s">
        <v>14</v>
      </c>
      <c r="B303" s="1"/>
      <c r="C303" s="1"/>
      <c r="D303" s="7"/>
      <c r="E303" s="7"/>
      <c r="F303" s="7"/>
      <c r="G303" s="7"/>
      <c r="H303" s="7"/>
      <c r="I303" s="7"/>
      <c r="J303" s="7"/>
      <c r="K303" s="1"/>
      <c r="L303" s="1"/>
    </row>
    <row r="304" spans="1:12">
      <c r="A304" s="1"/>
      <c r="B304" s="1"/>
      <c r="C304" s="1"/>
      <c r="D304" s="7"/>
      <c r="E304" s="7"/>
      <c r="F304" s="7"/>
      <c r="G304" s="7"/>
      <c r="H304" s="7"/>
      <c r="I304" s="7"/>
      <c r="J304" s="7"/>
      <c r="K304" s="1"/>
      <c r="L304" s="1"/>
    </row>
    <row r="305" spans="1:12">
      <c r="A305" s="1">
        <v>70</v>
      </c>
      <c r="B305" s="1" t="s">
        <v>65</v>
      </c>
      <c r="C305" s="1" t="s">
        <v>12</v>
      </c>
      <c r="D305" s="1">
        <v>6649.05</v>
      </c>
      <c r="E305" s="1">
        <v>505.28</v>
      </c>
      <c r="F305" s="1">
        <v>75.14</v>
      </c>
      <c r="G305" s="1">
        <v>0</v>
      </c>
      <c r="H305" s="1">
        <v>0</v>
      </c>
      <c r="I305" s="1"/>
      <c r="J305" s="1">
        <f>SUM(D305:H305)</f>
        <v>7229.47</v>
      </c>
      <c r="K305" s="1"/>
      <c r="L305" s="1"/>
    </row>
    <row r="306" spans="1:1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>
      <c r="C307" s="1" t="s">
        <v>10</v>
      </c>
      <c r="D307">
        <f>SUM(D305:D306)</f>
        <v>6649.05</v>
      </c>
      <c r="E307">
        <f>SUM(E305:E306)</f>
        <v>505.28</v>
      </c>
      <c r="F307">
        <f>SUM(F305:F306)</f>
        <v>75.14</v>
      </c>
      <c r="G307">
        <f>SUM(G305:G306)</f>
        <v>0</v>
      </c>
      <c r="H307">
        <f>SUM(H305:H306)</f>
        <v>0</v>
      </c>
      <c r="J307">
        <f>SUM(D307:H307)</f>
        <v>7229.47</v>
      </c>
    </row>
    <row r="309" spans="1:12">
      <c r="A309" s="1" t="s">
        <v>14</v>
      </c>
    </row>
    <row r="310" spans="1:12">
      <c r="C310" s="1" t="s">
        <v>66</v>
      </c>
      <c r="D310">
        <f>SUM(D9:D307)/2</f>
        <v>371442.12999999983</v>
      </c>
      <c r="E310">
        <f>SUM(E9:E307)/2</f>
        <v>16482.189999999995</v>
      </c>
      <c r="F310">
        <f>SUM(F9:F307)/2</f>
        <v>7170.5499999999984</v>
      </c>
      <c r="G310">
        <f>SUM(G9:G307)/2</f>
        <v>3541.9699999999993</v>
      </c>
      <c r="H310">
        <f>SUM(H9:H307)/2</f>
        <v>1834.5199999999998</v>
      </c>
      <c r="J310">
        <f>SUM(J9:J307)/2</f>
        <v>400471.35999999993</v>
      </c>
    </row>
  </sheetData>
  <phoneticPr fontId="0" type="noConversion"/>
  <pageMargins left="0.25" right="0.25" top="0.25" bottom="0.25" header="0.5" footer="0.5"/>
  <pageSetup orientation="landscape" r:id="rId1"/>
  <headerFooter alignWithMargins="0"/>
  <rowBreaks count="51" manualBreakCount="51">
    <brk id="7" max="65535" man="1"/>
    <brk id="12" max="65535" man="1"/>
    <brk id="18" max="65535" man="1"/>
    <brk id="24" max="65535" man="1"/>
    <brk id="30" max="65535" man="1"/>
    <brk id="36" max="65535" man="1"/>
    <brk id="43" max="65535" man="1"/>
    <brk id="49" max="65535" man="1"/>
    <brk id="56" max="65535" man="1"/>
    <brk id="62" max="65535" man="1"/>
    <brk id="68" max="65535" man="1"/>
    <brk id="75" max="65535" man="1"/>
    <brk id="82" max="65535" man="1"/>
    <brk id="89" max="65535" man="1"/>
    <brk id="94" max="65535" man="1"/>
    <brk id="100" max="65535" man="1"/>
    <brk id="105" max="65535" man="1"/>
    <brk id="111" max="65535" man="1"/>
    <brk id="117" max="65535" man="1"/>
    <brk id="121" max="65535" man="1"/>
    <brk id="127" max="65535" man="1"/>
    <brk id="133" max="65535" man="1"/>
    <brk id="140" max="65535" man="1"/>
    <brk id="146" max="65535" man="1"/>
    <brk id="151" max="65535" man="1"/>
    <brk id="156" max="65535" man="1"/>
    <brk id="162" max="65535" man="1"/>
    <brk id="167" max="65535" man="1"/>
    <brk id="172" max="65535" man="1"/>
    <brk id="178" max="65535" man="1"/>
    <brk id="185" max="65535" man="1"/>
    <brk id="191" max="65535" man="1"/>
    <brk id="197" max="65535" man="1"/>
    <brk id="202" max="65535" man="1"/>
    <brk id="208" max="65535" man="1"/>
    <brk id="214" max="65535" man="1"/>
    <brk id="220" max="65535" man="1"/>
    <brk id="226" max="65535" man="1"/>
    <brk id="232" max="65535" man="1"/>
    <brk id="237" max="65535" man="1"/>
    <brk id="243" max="65535" man="1"/>
    <brk id="249" max="65535" man="1"/>
    <brk id="255" max="65535" man="1"/>
    <brk id="260" max="65535" man="1"/>
    <brk id="266" max="65535" man="1"/>
    <brk id="273" max="65535" man="1"/>
    <brk id="279" max="65535" man="1"/>
    <brk id="285" max="65535" man="1"/>
    <brk id="290" max="65535" man="1"/>
    <brk id="297" max="65535" man="1"/>
    <brk id="302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L306"/>
  <sheetViews>
    <sheetView showOutlineSymbols="0" defaultGridColor="0" colorId="23" zoomScale="75" workbookViewId="0"/>
  </sheetViews>
  <sheetFormatPr defaultColWidth="9.6640625" defaultRowHeight="15"/>
  <cols>
    <col min="1" max="1" width="9.6640625" customWidth="1"/>
    <col min="2" max="2" width="16.6640625" customWidth="1"/>
    <col min="3" max="3" width="21.6640625" customWidth="1"/>
    <col min="4" max="5" width="11.6640625" customWidth="1"/>
    <col min="6" max="9" width="9.6640625" customWidth="1"/>
    <col min="10" max="10" width="12.6640625" customWidth="1"/>
  </cols>
  <sheetData>
    <row r="1" spans="1:12">
      <c r="A1" s="1" t="s">
        <v>67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</row>
    <row r="2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>
      <c r="A4" s="1"/>
      <c r="B4" s="3"/>
      <c r="C4" s="2"/>
      <c r="D4" s="2"/>
      <c r="E4" s="2"/>
      <c r="F4" s="2"/>
      <c r="G4" s="2"/>
      <c r="H4" s="2"/>
      <c r="I4" s="2"/>
      <c r="J4" s="2"/>
      <c r="K4" s="1"/>
      <c r="L4" s="1"/>
    </row>
    <row r="5" spans="1:12" ht="15.75">
      <c r="A5" s="1"/>
      <c r="B5" s="3"/>
      <c r="C5" s="2"/>
      <c r="D5" s="2"/>
      <c r="E5" s="2"/>
      <c r="F5" s="2"/>
      <c r="G5" s="2"/>
      <c r="H5" s="2"/>
      <c r="I5" s="2"/>
      <c r="J5" s="2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4" t="s">
        <v>3</v>
      </c>
      <c r="C7" s="4" t="s">
        <v>4</v>
      </c>
      <c r="D7" s="5" t="s">
        <v>69</v>
      </c>
      <c r="E7" s="5" t="s">
        <v>5</v>
      </c>
      <c r="F7" s="5" t="s">
        <v>6</v>
      </c>
      <c r="G7" s="5" t="s">
        <v>7</v>
      </c>
      <c r="H7" s="6" t="s">
        <v>8</v>
      </c>
      <c r="I7" s="6"/>
      <c r="J7" s="5" t="s">
        <v>10</v>
      </c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>
        <v>21</v>
      </c>
      <c r="B9" s="1" t="s">
        <v>11</v>
      </c>
      <c r="C9" s="1" t="s">
        <v>12</v>
      </c>
      <c r="D9" s="7">
        <v>7910.78</v>
      </c>
      <c r="E9" s="7">
        <v>237.85</v>
      </c>
      <c r="F9" s="7">
        <v>169.32</v>
      </c>
      <c r="G9" s="7">
        <v>114.17</v>
      </c>
      <c r="H9" s="7">
        <v>0</v>
      </c>
      <c r="I9" s="7"/>
      <c r="J9" s="7">
        <f>SUM(D9:H9)</f>
        <v>8432.1200000000008</v>
      </c>
      <c r="K9" s="1"/>
      <c r="L9" s="1"/>
    </row>
    <row r="10" spans="1:12">
      <c r="A10" s="1"/>
      <c r="B10" s="1"/>
      <c r="C10" s="1" t="s">
        <v>13</v>
      </c>
      <c r="D10" s="7">
        <v>141.75</v>
      </c>
      <c r="E10" s="7">
        <v>4.3600000000000003</v>
      </c>
      <c r="F10" s="7">
        <v>3.44</v>
      </c>
      <c r="G10" s="7">
        <v>2.06</v>
      </c>
      <c r="H10" s="7">
        <v>0</v>
      </c>
      <c r="I10" s="7"/>
      <c r="J10" s="7">
        <f>SUM(D10:H10)</f>
        <v>151.61000000000001</v>
      </c>
      <c r="K10" s="1"/>
      <c r="L10" s="1"/>
    </row>
    <row r="11" spans="1:12">
      <c r="A11" s="1"/>
      <c r="B11" s="1"/>
      <c r="C11" s="1" t="s">
        <v>10</v>
      </c>
      <c r="D11" s="7">
        <f>SUM(D9:D10)</f>
        <v>8052.53</v>
      </c>
      <c r="E11" s="7">
        <f>SUM(E9:E10)</f>
        <v>242.21</v>
      </c>
      <c r="F11" s="7">
        <f>SUM(F9:F10)</f>
        <v>172.76</v>
      </c>
      <c r="G11" s="7">
        <f>SUM(G9:G10)</f>
        <v>116.23</v>
      </c>
      <c r="H11" s="7">
        <f>SUM(H9:H10)</f>
        <v>0</v>
      </c>
      <c r="I11" s="7"/>
      <c r="J11" s="7">
        <f>SUM(D11:H11)</f>
        <v>8583.73</v>
      </c>
      <c r="K11" s="1"/>
      <c r="L11" s="1"/>
    </row>
    <row r="12" spans="1:12">
      <c r="A12" s="1"/>
      <c r="B12" s="1"/>
      <c r="C12" s="1"/>
      <c r="D12" s="7"/>
      <c r="E12" s="7"/>
      <c r="F12" s="7"/>
      <c r="G12" s="7"/>
      <c r="H12" s="7"/>
      <c r="I12" s="7"/>
      <c r="J12" s="7"/>
      <c r="K12" s="1"/>
      <c r="L12" s="1"/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7"/>
      <c r="K13" s="1"/>
      <c r="L13" s="1"/>
    </row>
    <row r="14" spans="1:12">
      <c r="A14" s="1" t="s">
        <v>14</v>
      </c>
      <c r="B14" s="1"/>
      <c r="C14" s="1"/>
      <c r="D14" s="7"/>
      <c r="E14" s="7"/>
      <c r="F14" s="7"/>
      <c r="G14" s="7"/>
      <c r="H14" s="7"/>
      <c r="I14" s="7"/>
      <c r="J14" s="7"/>
      <c r="K14" s="1"/>
      <c r="L14" s="1"/>
    </row>
    <row r="15" spans="1:12">
      <c r="A15" s="1">
        <v>22</v>
      </c>
      <c r="B15" s="1" t="s">
        <v>15</v>
      </c>
      <c r="C15" s="1" t="s">
        <v>12</v>
      </c>
      <c r="D15" s="7">
        <v>6244.8</v>
      </c>
      <c r="E15" s="7">
        <v>80.63</v>
      </c>
      <c r="F15" s="7">
        <v>0</v>
      </c>
      <c r="G15" s="7">
        <v>0</v>
      </c>
      <c r="H15" s="7">
        <v>0</v>
      </c>
      <c r="I15" s="7"/>
      <c r="J15" s="7">
        <f>SUM(D15:H15)</f>
        <v>6325.43</v>
      </c>
      <c r="K15" s="1"/>
      <c r="L15" s="1"/>
    </row>
    <row r="16" spans="1:12">
      <c r="A16" s="1"/>
      <c r="B16" s="1"/>
      <c r="C16" s="1" t="s">
        <v>13</v>
      </c>
      <c r="D16" s="7">
        <v>281.10000000000002</v>
      </c>
      <c r="E16" s="7">
        <v>3.66</v>
      </c>
      <c r="F16" s="7">
        <v>0</v>
      </c>
      <c r="G16" s="7">
        <v>0</v>
      </c>
      <c r="H16" s="7">
        <v>0</v>
      </c>
      <c r="I16" s="7"/>
      <c r="J16" s="7">
        <f>SUM(D16:H16)</f>
        <v>284.76000000000005</v>
      </c>
      <c r="K16" s="1"/>
      <c r="L16" s="1"/>
    </row>
    <row r="17" spans="1:12">
      <c r="A17" s="1"/>
      <c r="B17" s="1"/>
      <c r="C17" s="1" t="s">
        <v>10</v>
      </c>
      <c r="D17" s="7">
        <f>SUM(D15:D16)</f>
        <v>6525.9000000000005</v>
      </c>
      <c r="E17" s="7">
        <f>SUM(E15:E16)</f>
        <v>84.289999999999992</v>
      </c>
      <c r="F17" s="7">
        <v>0</v>
      </c>
      <c r="G17" s="7">
        <f>SUM(G15:G16)</f>
        <v>0</v>
      </c>
      <c r="H17" s="7">
        <f>SUM(H15:H16)</f>
        <v>0</v>
      </c>
      <c r="I17" s="7"/>
      <c r="J17" s="7">
        <f>SUM(D17:H17)</f>
        <v>6610.1900000000005</v>
      </c>
      <c r="K17" s="1"/>
      <c r="L17" s="1"/>
    </row>
    <row r="18" spans="1:12">
      <c r="A18" s="1"/>
      <c r="B18" s="1"/>
      <c r="C18" s="1"/>
      <c r="D18" s="7"/>
      <c r="E18" s="7"/>
      <c r="F18" s="7"/>
      <c r="G18" s="7"/>
      <c r="H18" s="7"/>
      <c r="I18" s="7"/>
      <c r="J18" s="7"/>
      <c r="K18" s="1"/>
      <c r="L18" s="1"/>
    </row>
    <row r="19" spans="1:12">
      <c r="A19" s="1"/>
      <c r="B19" s="1"/>
      <c r="C19" s="1"/>
      <c r="D19" s="7"/>
      <c r="E19" s="7"/>
      <c r="F19" s="7"/>
      <c r="G19" s="7"/>
      <c r="H19" s="7"/>
      <c r="I19" s="7"/>
      <c r="J19" s="7"/>
      <c r="K19" s="1"/>
      <c r="L19" s="1"/>
    </row>
    <row r="20" spans="1:12">
      <c r="A20" s="1" t="s">
        <v>14</v>
      </c>
      <c r="B20" s="1"/>
      <c r="C20" s="1"/>
      <c r="D20" s="7"/>
      <c r="E20" s="7"/>
      <c r="F20" s="7"/>
      <c r="G20" s="7"/>
      <c r="H20" s="7"/>
      <c r="I20" s="7"/>
      <c r="J20" s="7"/>
      <c r="K20" s="1"/>
      <c r="L20" s="1"/>
    </row>
    <row r="21" spans="1:12">
      <c r="A21" s="1">
        <v>23</v>
      </c>
      <c r="B21" s="1" t="s">
        <v>16</v>
      </c>
      <c r="C21" s="1" t="s">
        <v>12</v>
      </c>
      <c r="D21" s="7">
        <v>4544.12</v>
      </c>
      <c r="E21" s="7">
        <v>944.93</v>
      </c>
      <c r="F21" s="7">
        <v>402.11</v>
      </c>
      <c r="G21" s="7">
        <v>153.08000000000001</v>
      </c>
      <c r="H21" s="7">
        <v>0</v>
      </c>
      <c r="I21" s="7"/>
      <c r="J21" s="7">
        <f>SUM(D21:H21)</f>
        <v>6044.24</v>
      </c>
      <c r="K21" s="1"/>
      <c r="L21" s="1"/>
    </row>
    <row r="22" spans="1:12">
      <c r="A22" s="1"/>
      <c r="B22" s="1"/>
      <c r="C22" s="1" t="s">
        <v>13</v>
      </c>
      <c r="D22" s="7">
        <v>230.35</v>
      </c>
      <c r="E22" s="7">
        <v>60.95</v>
      </c>
      <c r="F22" s="7">
        <v>37.57</v>
      </c>
      <c r="G22" s="7">
        <v>5.74</v>
      </c>
      <c r="H22" s="7">
        <v>0</v>
      </c>
      <c r="I22" s="7"/>
      <c r="J22" s="7">
        <f>SUM(D22:H22)</f>
        <v>334.61</v>
      </c>
      <c r="K22" s="1"/>
      <c r="L22" s="1"/>
    </row>
    <row r="23" spans="1:12">
      <c r="A23" s="1"/>
      <c r="B23" s="1"/>
      <c r="C23" s="1" t="s">
        <v>10</v>
      </c>
      <c r="D23" s="7">
        <f>SUM(D21:D22)</f>
        <v>4774.47</v>
      </c>
      <c r="E23" s="7">
        <f>SUM(E21:E22)</f>
        <v>1005.88</v>
      </c>
      <c r="F23" s="7">
        <f>SUM(F21:F22)</f>
        <v>439.68</v>
      </c>
      <c r="G23" s="7">
        <f>SUM(G21:G22)</f>
        <v>158.82000000000002</v>
      </c>
      <c r="H23" s="7">
        <f>SUM(H21:H22)</f>
        <v>0</v>
      </c>
      <c r="I23" s="7"/>
      <c r="J23" s="7">
        <f>SUM(D23:H23)</f>
        <v>6378.85</v>
      </c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7"/>
      <c r="K24" s="1"/>
      <c r="L24" s="1"/>
    </row>
    <row r="25" spans="1:12">
      <c r="A25" s="1"/>
      <c r="B25" s="1"/>
      <c r="C25" s="1"/>
      <c r="D25" s="7"/>
      <c r="E25" s="7"/>
      <c r="F25" s="7"/>
      <c r="G25" s="7"/>
      <c r="H25" s="7"/>
      <c r="I25" s="7"/>
      <c r="J25" s="7"/>
      <c r="K25" s="1"/>
      <c r="L25" s="1"/>
    </row>
    <row r="26" spans="1:12">
      <c r="A26" s="1" t="s">
        <v>14</v>
      </c>
      <c r="B26" s="1"/>
      <c r="C26" s="1"/>
      <c r="D26" s="7"/>
      <c r="E26" s="7"/>
      <c r="F26" s="7"/>
      <c r="G26" s="7"/>
      <c r="H26" s="7"/>
      <c r="I26" s="7"/>
      <c r="J26" s="7"/>
      <c r="K26" s="1"/>
      <c r="L26" s="1"/>
    </row>
    <row r="27" spans="1:12">
      <c r="A27" s="1">
        <v>24</v>
      </c>
      <c r="B27" s="1" t="s">
        <v>17</v>
      </c>
      <c r="C27" s="1" t="s">
        <v>12</v>
      </c>
      <c r="D27" s="7">
        <v>3289.7</v>
      </c>
      <c r="E27" s="7">
        <v>94.01</v>
      </c>
      <c r="F27" s="7">
        <v>0</v>
      </c>
      <c r="G27" s="7">
        <v>0</v>
      </c>
      <c r="H27" s="7">
        <v>0</v>
      </c>
      <c r="I27" s="7"/>
      <c r="J27" s="7">
        <f>SUM(D27:H27)</f>
        <v>3383.71</v>
      </c>
      <c r="K27" s="1"/>
      <c r="L27" s="1"/>
    </row>
    <row r="28" spans="1:12">
      <c r="A28" s="1"/>
      <c r="B28" s="1"/>
      <c r="C28" s="1"/>
      <c r="D28" s="7"/>
      <c r="E28" s="7"/>
      <c r="F28" s="7"/>
      <c r="G28" s="7"/>
      <c r="H28" s="7"/>
      <c r="I28" s="7"/>
      <c r="J28" s="7">
        <f>SUM(D28:H28)</f>
        <v>0</v>
      </c>
      <c r="K28" s="1"/>
      <c r="L28" s="1"/>
    </row>
    <row r="29" spans="1:12">
      <c r="A29" s="1"/>
      <c r="B29" s="1"/>
      <c r="C29" s="1" t="s">
        <v>10</v>
      </c>
      <c r="D29" s="7">
        <f>SUM(D27:D28)</f>
        <v>3289.7</v>
      </c>
      <c r="E29" s="7">
        <f>SUM(E27:E28)</f>
        <v>94.01</v>
      </c>
      <c r="F29" s="7">
        <f>SUM(F27:F28)</f>
        <v>0</v>
      </c>
      <c r="G29" s="7">
        <f>SUM(G27:G28)</f>
        <v>0</v>
      </c>
      <c r="H29" s="7">
        <f>SUM(H27:H28)</f>
        <v>0</v>
      </c>
      <c r="I29" s="7"/>
      <c r="J29" s="7">
        <f>SUM(D29:H29)</f>
        <v>3383.71</v>
      </c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7"/>
      <c r="K30" s="1"/>
      <c r="L30" s="1"/>
    </row>
    <row r="31" spans="1:12">
      <c r="A31" s="1"/>
      <c r="B31" s="1"/>
      <c r="C31" s="1"/>
      <c r="D31" s="7"/>
      <c r="E31" s="7"/>
      <c r="F31" s="7"/>
      <c r="G31" s="7"/>
      <c r="H31" s="7"/>
      <c r="I31" s="7"/>
      <c r="J31" s="7"/>
      <c r="K31" s="1"/>
      <c r="L31" s="1"/>
    </row>
    <row r="32" spans="1:12">
      <c r="A32" s="1" t="s">
        <v>14</v>
      </c>
      <c r="B32" s="1"/>
      <c r="C32" s="1"/>
      <c r="D32" s="7"/>
      <c r="E32" s="7"/>
      <c r="F32" s="7"/>
      <c r="G32" s="7"/>
      <c r="H32" s="7"/>
      <c r="I32" s="7"/>
      <c r="J32" s="7"/>
      <c r="K32" s="1"/>
      <c r="L32" s="1"/>
    </row>
    <row r="33" spans="1:12">
      <c r="A33" s="1">
        <v>25</v>
      </c>
      <c r="B33" s="1" t="s">
        <v>18</v>
      </c>
      <c r="C33" s="1" t="s">
        <v>12</v>
      </c>
      <c r="D33" s="7">
        <v>16360.27</v>
      </c>
      <c r="E33" s="7">
        <v>123.08</v>
      </c>
      <c r="F33" s="7">
        <v>19.75</v>
      </c>
      <c r="G33" s="7">
        <v>13.6</v>
      </c>
      <c r="H33" s="7">
        <v>11.49</v>
      </c>
      <c r="I33" s="7"/>
      <c r="J33" s="7">
        <f>SUM(D33:H33)</f>
        <v>16528.190000000002</v>
      </c>
      <c r="K33" s="1"/>
      <c r="L33" s="1"/>
    </row>
    <row r="34" spans="1:12">
      <c r="A34" s="1"/>
      <c r="B34" s="1"/>
      <c r="C34" s="1"/>
      <c r="D34" s="7"/>
      <c r="E34" s="7"/>
      <c r="F34" s="7"/>
      <c r="G34" s="7"/>
      <c r="H34" s="7"/>
      <c r="I34" s="7"/>
      <c r="J34" s="7">
        <f>SUM(D34:H34)</f>
        <v>0</v>
      </c>
      <c r="K34" s="1"/>
      <c r="L34" s="1"/>
    </row>
    <row r="35" spans="1:12">
      <c r="A35" s="1"/>
      <c r="B35" s="1"/>
      <c r="C35" s="1" t="s">
        <v>10</v>
      </c>
      <c r="D35" s="1">
        <f>SUM(D33:D34)</f>
        <v>16360.27</v>
      </c>
      <c r="E35" s="1">
        <f>SUM(E33:E34)</f>
        <v>123.08</v>
      </c>
      <c r="F35" s="1">
        <f>SUM(F33:F34)</f>
        <v>19.75</v>
      </c>
      <c r="G35" s="1">
        <f>SUM(G33:G34)</f>
        <v>13.6</v>
      </c>
      <c r="H35" s="1">
        <f>SUM(H33:H34)</f>
        <v>11.49</v>
      </c>
      <c r="I35" s="1"/>
      <c r="J35" s="7">
        <f>SUM(D35:H35)</f>
        <v>16528.190000000002</v>
      </c>
      <c r="K35" s="1"/>
      <c r="L35" s="1"/>
    </row>
    <row r="36" spans="1:12">
      <c r="A36" s="1"/>
      <c r="B36" s="1"/>
      <c r="C36" s="1"/>
      <c r="D36" s="7"/>
      <c r="E36" s="7"/>
      <c r="F36" s="7"/>
      <c r="G36" s="7"/>
      <c r="H36" s="7"/>
      <c r="I36" s="7"/>
      <c r="J36" s="7"/>
      <c r="K36" s="1"/>
      <c r="L36" s="1"/>
    </row>
    <row r="37" spans="1:12">
      <c r="A37" s="1"/>
      <c r="B37" s="1"/>
      <c r="C37" s="1"/>
      <c r="D37" s="7"/>
      <c r="E37" s="7"/>
      <c r="F37" s="7"/>
      <c r="G37" s="7"/>
      <c r="H37" s="7"/>
      <c r="I37" s="7"/>
      <c r="J37" s="7"/>
      <c r="K37" s="1"/>
      <c r="L37" s="1"/>
    </row>
    <row r="38" spans="1:12">
      <c r="A38" s="1" t="s">
        <v>14</v>
      </c>
      <c r="B38" s="1"/>
      <c r="C38" s="1"/>
      <c r="D38" s="7"/>
      <c r="E38" s="7"/>
      <c r="F38" s="7"/>
      <c r="G38" s="7"/>
      <c r="H38" s="7"/>
      <c r="I38" s="7"/>
      <c r="J38" s="7"/>
      <c r="K38" s="1"/>
      <c r="L38" s="1"/>
    </row>
    <row r="39" spans="1:12">
      <c r="A39" s="1">
        <v>26</v>
      </c>
      <c r="B39" s="1" t="s">
        <v>19</v>
      </c>
      <c r="C39" s="1" t="s">
        <v>12</v>
      </c>
      <c r="D39" s="7">
        <v>4341.4399999999996</v>
      </c>
      <c r="E39" s="7">
        <v>0</v>
      </c>
      <c r="F39" s="7">
        <v>0</v>
      </c>
      <c r="G39" s="7">
        <v>0</v>
      </c>
      <c r="H39" s="7">
        <v>0</v>
      </c>
      <c r="I39" s="7"/>
      <c r="J39" s="7">
        <f>SUM(D39:H39)</f>
        <v>4341.4399999999996</v>
      </c>
      <c r="K39" s="1"/>
      <c r="L39" s="1"/>
    </row>
    <row r="40" spans="1:12">
      <c r="A40" s="1"/>
      <c r="B40" s="1"/>
      <c r="C40" s="1" t="s">
        <v>13</v>
      </c>
      <c r="D40" s="7">
        <v>111.74</v>
      </c>
      <c r="E40" s="7">
        <v>0</v>
      </c>
      <c r="F40" s="7">
        <v>0</v>
      </c>
      <c r="G40" s="7">
        <v>0</v>
      </c>
      <c r="H40" s="7">
        <v>0</v>
      </c>
      <c r="I40" s="7"/>
      <c r="J40" s="7">
        <f>SUM(D40:H40)</f>
        <v>111.74</v>
      </c>
      <c r="K40" s="1"/>
      <c r="L40" s="1"/>
    </row>
    <row r="41" spans="1:12">
      <c r="A41" s="1"/>
      <c r="B41" s="1"/>
      <c r="C41" s="1" t="s">
        <v>10</v>
      </c>
      <c r="D41" s="7">
        <f>SUM(D39:D40)</f>
        <v>4453.1799999999994</v>
      </c>
      <c r="E41" s="7">
        <f>SUM(E39:E40)</f>
        <v>0</v>
      </c>
      <c r="F41" s="7">
        <f>SUM(F39:F40)</f>
        <v>0</v>
      </c>
      <c r="G41" s="7">
        <f>SUM(G39:G40)</f>
        <v>0</v>
      </c>
      <c r="H41" s="7">
        <f>SUM(H39:H40)</f>
        <v>0</v>
      </c>
      <c r="I41" s="7"/>
      <c r="J41" s="7">
        <f>SUM(D41:H41)</f>
        <v>4453.1799999999994</v>
      </c>
      <c r="K41" s="1"/>
      <c r="L41" s="1"/>
    </row>
    <row r="42" spans="1:12">
      <c r="A42" s="1"/>
      <c r="B42" s="1"/>
      <c r="C42" s="1"/>
      <c r="D42" s="7"/>
      <c r="E42" s="7"/>
      <c r="F42" s="7"/>
      <c r="G42" s="7"/>
      <c r="H42" s="7"/>
      <c r="I42" s="7"/>
      <c r="J42" s="7"/>
      <c r="K42" s="1"/>
      <c r="L42" s="1"/>
    </row>
    <row r="43" spans="1:12">
      <c r="A43" s="1"/>
      <c r="B43" s="1"/>
      <c r="C43" s="1"/>
      <c r="D43" s="7"/>
      <c r="E43" s="7"/>
      <c r="F43" s="7"/>
      <c r="G43" s="7"/>
      <c r="H43" s="7"/>
      <c r="I43" s="7"/>
      <c r="J43" s="7"/>
      <c r="K43" s="1"/>
      <c r="L43" s="1"/>
    </row>
    <row r="44" spans="1:12">
      <c r="A44" s="1" t="s">
        <v>14</v>
      </c>
      <c r="B44" s="1"/>
      <c r="C44" s="1"/>
      <c r="D44" s="7"/>
      <c r="E44" s="7"/>
      <c r="F44" s="7"/>
      <c r="G44" s="7"/>
      <c r="H44" s="7"/>
      <c r="I44" s="7"/>
      <c r="J44" s="7"/>
      <c r="K44" s="1"/>
      <c r="L44" s="1"/>
    </row>
    <row r="45" spans="1:12">
      <c r="A45" s="1">
        <v>27</v>
      </c>
      <c r="B45" s="1" t="s">
        <v>20</v>
      </c>
      <c r="C45" s="1" t="s">
        <v>12</v>
      </c>
      <c r="D45" s="7">
        <v>5816.33</v>
      </c>
      <c r="E45" s="7">
        <v>7.52</v>
      </c>
      <c r="F45" s="7">
        <v>7.33</v>
      </c>
      <c r="G45" s="7">
        <v>0</v>
      </c>
      <c r="H45" s="7">
        <v>0</v>
      </c>
      <c r="I45" s="7"/>
      <c r="J45" s="7">
        <f>SUM(D45:H45)</f>
        <v>5831.18</v>
      </c>
      <c r="K45" s="1"/>
      <c r="L45" s="1"/>
    </row>
    <row r="46" spans="1:12">
      <c r="A46" s="1"/>
      <c r="B46" s="1"/>
      <c r="C46" s="1"/>
      <c r="D46" s="7"/>
      <c r="E46" s="7"/>
      <c r="F46" s="7"/>
      <c r="G46" s="7"/>
      <c r="H46" s="7"/>
      <c r="I46" s="7"/>
      <c r="J46" s="7">
        <f>SUM(D46:H46)</f>
        <v>0</v>
      </c>
      <c r="K46" s="1"/>
      <c r="L46" s="1"/>
    </row>
    <row r="47" spans="1:12">
      <c r="A47" s="1"/>
      <c r="B47" s="1"/>
      <c r="C47" s="1" t="s">
        <v>10</v>
      </c>
      <c r="D47" s="1">
        <f>SUM(D45:D46)</f>
        <v>5816.33</v>
      </c>
      <c r="E47" s="1">
        <f>SUM(E45:E46)</f>
        <v>7.52</v>
      </c>
      <c r="F47" s="1">
        <f>SUM(F45:F46)</f>
        <v>7.33</v>
      </c>
      <c r="G47" s="1">
        <f>SUM(G45:G46)</f>
        <v>0</v>
      </c>
      <c r="H47" s="1">
        <f>SUM(H45:H46)</f>
        <v>0</v>
      </c>
      <c r="I47" s="1"/>
      <c r="J47" s="7">
        <f>SUM(D47:H47)</f>
        <v>5831.18</v>
      </c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7"/>
      <c r="K48" s="1"/>
      <c r="L48" s="1"/>
    </row>
    <row r="49" spans="1:12">
      <c r="A49" s="1"/>
      <c r="B49" s="1"/>
      <c r="C49" s="1"/>
      <c r="D49" s="7"/>
      <c r="E49" s="7"/>
      <c r="F49" s="7"/>
      <c r="G49" s="7"/>
      <c r="H49" s="7"/>
      <c r="I49" s="7"/>
      <c r="J49" s="7"/>
      <c r="K49" s="1"/>
      <c r="L49" s="1"/>
    </row>
    <row r="50" spans="1:12">
      <c r="A50" s="1" t="s">
        <v>14</v>
      </c>
      <c r="B50" s="1"/>
      <c r="C50" s="1"/>
      <c r="D50" s="7"/>
      <c r="E50" s="7"/>
      <c r="F50" s="7"/>
      <c r="G50" s="7"/>
      <c r="H50" s="7"/>
      <c r="I50" s="7"/>
      <c r="J50" s="7"/>
      <c r="K50" s="1"/>
      <c r="L50" s="1"/>
    </row>
    <row r="51" spans="1:12">
      <c r="A51" s="1">
        <v>28</v>
      </c>
      <c r="B51" s="1" t="s">
        <v>21</v>
      </c>
      <c r="C51" s="1" t="s">
        <v>12</v>
      </c>
      <c r="D51" s="7">
        <v>5012.57</v>
      </c>
      <c r="E51" s="7">
        <v>126.9</v>
      </c>
      <c r="F51" s="7">
        <v>28.89</v>
      </c>
      <c r="G51" s="7">
        <v>0</v>
      </c>
      <c r="H51" s="7">
        <v>0</v>
      </c>
      <c r="I51" s="7"/>
      <c r="J51" s="7">
        <f>SUM(D51:H51)</f>
        <v>5168.3599999999997</v>
      </c>
      <c r="K51" s="1"/>
      <c r="L51" s="1"/>
    </row>
    <row r="52" spans="1:12">
      <c r="A52" s="1"/>
      <c r="B52" s="1"/>
      <c r="C52" s="1" t="s">
        <v>13</v>
      </c>
      <c r="D52" s="7">
        <v>170.57</v>
      </c>
      <c r="E52" s="7">
        <v>4.3499999999999996</v>
      </c>
      <c r="F52" s="7">
        <v>1.28</v>
      </c>
      <c r="G52" s="7">
        <v>0</v>
      </c>
      <c r="H52" s="7">
        <v>0</v>
      </c>
      <c r="I52" s="7"/>
      <c r="J52" s="7">
        <f>SUM(D52:H52)</f>
        <v>176.2</v>
      </c>
      <c r="K52" s="1"/>
      <c r="L52" s="1"/>
    </row>
    <row r="53" spans="1:12">
      <c r="A53" s="1"/>
      <c r="B53" s="1"/>
      <c r="C53" s="1" t="s">
        <v>10</v>
      </c>
      <c r="D53" s="7">
        <f>SUM(D51:D52)</f>
        <v>5183.1399999999994</v>
      </c>
      <c r="E53" s="7">
        <f>SUM(E51:E52)</f>
        <v>131.25</v>
      </c>
      <c r="F53" s="7">
        <f>SUM(F51:F52)</f>
        <v>30.17</v>
      </c>
      <c r="G53" s="7">
        <f>SUM(G51:G52)</f>
        <v>0</v>
      </c>
      <c r="H53" s="7">
        <f>SUM(H51:H52)</f>
        <v>0</v>
      </c>
      <c r="I53" s="7"/>
      <c r="J53" s="7">
        <f>SUM(D53:H53)</f>
        <v>5344.5599999999995</v>
      </c>
      <c r="K53" s="1"/>
      <c r="L53" s="1"/>
    </row>
    <row r="54" spans="1:12">
      <c r="A54" s="1"/>
      <c r="B54" s="1"/>
      <c r="C54" s="1"/>
      <c r="D54" s="7"/>
      <c r="E54" s="7"/>
      <c r="F54" s="7"/>
      <c r="G54" s="7"/>
      <c r="H54" s="7"/>
      <c r="I54" s="7"/>
      <c r="J54" s="7"/>
      <c r="K54" s="1"/>
      <c r="L54" s="1"/>
    </row>
    <row r="55" spans="1:12">
      <c r="A55" s="1"/>
      <c r="B55" s="1"/>
      <c r="C55" s="1"/>
      <c r="D55" s="7"/>
      <c r="E55" s="7"/>
      <c r="F55" s="7"/>
      <c r="G55" s="7"/>
      <c r="H55" s="7"/>
      <c r="I55" s="7"/>
      <c r="J55" s="7"/>
      <c r="K55" s="1"/>
      <c r="L55" s="1"/>
    </row>
    <row r="56" spans="1:12">
      <c r="A56" s="1" t="s">
        <v>14</v>
      </c>
      <c r="B56" s="1"/>
      <c r="C56" s="1"/>
      <c r="D56" s="7"/>
      <c r="E56" s="7"/>
      <c r="F56" s="7"/>
      <c r="G56" s="7"/>
      <c r="H56" s="7"/>
      <c r="I56" s="7"/>
      <c r="J56" s="7"/>
      <c r="K56" s="1"/>
      <c r="L56" s="1"/>
    </row>
    <row r="57" spans="1:12">
      <c r="A57" s="1">
        <v>29</v>
      </c>
      <c r="B57" s="1" t="s">
        <v>22</v>
      </c>
      <c r="C57" s="1" t="s">
        <v>12</v>
      </c>
      <c r="D57" s="7">
        <v>10864.91</v>
      </c>
      <c r="E57" s="7">
        <v>59.24</v>
      </c>
      <c r="F57" s="7">
        <v>0</v>
      </c>
      <c r="G57" s="7">
        <v>0</v>
      </c>
      <c r="H57" s="7">
        <v>0</v>
      </c>
      <c r="I57" s="7"/>
      <c r="J57" s="7">
        <f>SUM(D57:H57)</f>
        <v>10924.15</v>
      </c>
      <c r="K57" s="1"/>
      <c r="L57" s="1"/>
    </row>
    <row r="58" spans="1:12">
      <c r="A58" s="1"/>
      <c r="B58" s="1"/>
      <c r="C58" s="1" t="s">
        <v>13</v>
      </c>
      <c r="D58" s="7">
        <v>431.96</v>
      </c>
      <c r="E58" s="7">
        <v>2.62</v>
      </c>
      <c r="F58" s="7">
        <v>0</v>
      </c>
      <c r="G58" s="7">
        <v>0</v>
      </c>
      <c r="H58" s="7">
        <v>0</v>
      </c>
      <c r="I58" s="7"/>
      <c r="J58" s="7">
        <f>SUM(D58:H58)</f>
        <v>434.58</v>
      </c>
      <c r="K58" s="1"/>
      <c r="L58" s="1"/>
    </row>
    <row r="59" spans="1:12">
      <c r="A59" s="1"/>
      <c r="B59" s="1"/>
      <c r="C59" s="1" t="s">
        <v>10</v>
      </c>
      <c r="D59" s="7">
        <f>SUM(D57:D58)</f>
        <v>11296.869999999999</v>
      </c>
      <c r="E59" s="7">
        <f>SUM(E57:E58)</f>
        <v>61.86</v>
      </c>
      <c r="F59" s="7">
        <f>SUM(F57:F58)</f>
        <v>0</v>
      </c>
      <c r="G59" s="7">
        <f>SUM(G57:G58)</f>
        <v>0</v>
      </c>
      <c r="H59" s="7">
        <f>SUM(H57:H58)</f>
        <v>0</v>
      </c>
      <c r="I59" s="7"/>
      <c r="J59" s="7">
        <f>SUM(D59:H59)</f>
        <v>11358.73</v>
      </c>
      <c r="K59" s="1"/>
      <c r="L59" s="1"/>
    </row>
    <row r="60" spans="1:12">
      <c r="A60" s="1"/>
      <c r="B60" s="1"/>
      <c r="C60" s="1"/>
      <c r="D60" s="7"/>
      <c r="E60" s="7"/>
      <c r="F60" s="7"/>
      <c r="G60" s="7"/>
      <c r="H60" s="7"/>
      <c r="I60" s="7"/>
      <c r="J60" s="7"/>
      <c r="K60" s="1"/>
      <c r="L60" s="1"/>
    </row>
    <row r="61" spans="1:12">
      <c r="A61" s="1"/>
      <c r="B61" s="1"/>
      <c r="C61" s="1"/>
      <c r="D61" s="7"/>
      <c r="E61" s="7"/>
      <c r="F61" s="7"/>
      <c r="G61" s="7"/>
      <c r="H61" s="7"/>
      <c r="I61" s="7"/>
      <c r="J61" s="7"/>
      <c r="K61" s="1"/>
      <c r="L61" s="1"/>
    </row>
    <row r="62" spans="1:12">
      <c r="A62" s="1" t="s">
        <v>14</v>
      </c>
      <c r="B62" s="1"/>
      <c r="C62" s="1"/>
      <c r="D62" s="7"/>
      <c r="E62" s="7"/>
      <c r="F62" s="7"/>
      <c r="G62" s="7"/>
      <c r="H62" s="7"/>
      <c r="I62" s="7"/>
      <c r="J62" s="7"/>
      <c r="K62" s="1"/>
      <c r="L62" s="1"/>
    </row>
    <row r="63" spans="1:12">
      <c r="A63" s="1">
        <v>30</v>
      </c>
      <c r="B63" s="1" t="s">
        <v>23</v>
      </c>
      <c r="C63" s="1" t="s">
        <v>12</v>
      </c>
      <c r="D63" s="7">
        <v>3659.58</v>
      </c>
      <c r="E63" s="7">
        <v>0</v>
      </c>
      <c r="F63" s="7">
        <v>0</v>
      </c>
      <c r="G63" s="7">
        <v>0</v>
      </c>
      <c r="H63" s="7">
        <v>0</v>
      </c>
      <c r="I63" s="7"/>
      <c r="J63" s="7">
        <f>SUM(D63:H63)</f>
        <v>3659.58</v>
      </c>
      <c r="K63" s="1"/>
      <c r="L63" s="1"/>
    </row>
    <row r="64" spans="1:12">
      <c r="A64" s="1"/>
      <c r="B64" s="1"/>
      <c r="C64" s="1" t="s">
        <v>13</v>
      </c>
      <c r="D64" s="7">
        <v>186.09</v>
      </c>
      <c r="E64" s="7">
        <v>0</v>
      </c>
      <c r="F64" s="7">
        <v>0</v>
      </c>
      <c r="G64" s="7">
        <v>0</v>
      </c>
      <c r="H64" s="7">
        <v>0</v>
      </c>
      <c r="I64" s="7"/>
      <c r="J64" s="7">
        <f>SUM(D64:H64)</f>
        <v>186.09</v>
      </c>
      <c r="K64" s="1"/>
      <c r="L64" s="1"/>
    </row>
    <row r="65" spans="1:12">
      <c r="A65" s="1"/>
      <c r="B65" s="1"/>
      <c r="C65" s="1" t="s">
        <v>10</v>
      </c>
      <c r="D65" s="7">
        <f>SUM(D63:D64)</f>
        <v>3845.67</v>
      </c>
      <c r="E65" s="7">
        <f>SUM(E63:E64)</f>
        <v>0</v>
      </c>
      <c r="F65" s="7">
        <f>SUM(F63:F64)</f>
        <v>0</v>
      </c>
      <c r="G65" s="7">
        <f>SUM(G63:G64)</f>
        <v>0</v>
      </c>
      <c r="H65" s="7">
        <f>SUM(H63:H64)</f>
        <v>0</v>
      </c>
      <c r="I65" s="7"/>
      <c r="J65" s="7">
        <f>SUM(D65:H65)</f>
        <v>3845.67</v>
      </c>
      <c r="K65" s="1"/>
      <c r="L65" s="1"/>
    </row>
    <row r="66" spans="1:12">
      <c r="A66" s="1"/>
      <c r="B66" s="1"/>
      <c r="C66" s="1"/>
      <c r="D66" s="7"/>
      <c r="E66" s="7"/>
      <c r="F66" s="7"/>
      <c r="G66" s="7"/>
      <c r="H66" s="7"/>
      <c r="I66" s="7"/>
      <c r="J66" s="7"/>
      <c r="K66" s="1"/>
      <c r="L66" s="1"/>
    </row>
    <row r="67" spans="1:12">
      <c r="A67" s="1"/>
      <c r="B67" s="1"/>
      <c r="C67" s="1"/>
      <c r="D67" s="7"/>
      <c r="E67" s="7"/>
      <c r="F67" s="7"/>
      <c r="G67" s="7"/>
      <c r="H67" s="7"/>
      <c r="I67" s="7"/>
      <c r="J67" s="7"/>
      <c r="K67" s="1"/>
      <c r="L67" s="1"/>
    </row>
    <row r="68" spans="1:12">
      <c r="A68" s="1" t="s">
        <v>14</v>
      </c>
      <c r="B68" s="1"/>
      <c r="C68" s="1"/>
      <c r="D68" s="7"/>
      <c r="E68" s="7"/>
      <c r="F68" s="7"/>
      <c r="G68" s="7"/>
      <c r="H68" s="7"/>
      <c r="I68" s="7"/>
      <c r="J68" s="7"/>
      <c r="K68" s="1"/>
      <c r="L68" s="1"/>
    </row>
    <row r="69" spans="1:12">
      <c r="A69" s="1">
        <v>31</v>
      </c>
      <c r="B69" s="1" t="s">
        <v>24</v>
      </c>
      <c r="C69" s="1" t="s">
        <v>12</v>
      </c>
      <c r="D69" s="7">
        <v>1582.11</v>
      </c>
      <c r="E69" s="7">
        <v>178</v>
      </c>
      <c r="F69" s="7">
        <v>0</v>
      </c>
      <c r="G69" s="7">
        <v>0</v>
      </c>
      <c r="H69" s="7">
        <v>0</v>
      </c>
      <c r="I69" s="7"/>
      <c r="J69" s="7">
        <f>SUM(D69:H69)</f>
        <v>1760.11</v>
      </c>
      <c r="K69" s="1"/>
      <c r="L69" s="1"/>
    </row>
    <row r="70" spans="1:12">
      <c r="A70" s="1"/>
      <c r="B70" s="1"/>
      <c r="C70" s="1" t="s">
        <v>13</v>
      </c>
      <c r="D70" s="7">
        <v>52.8</v>
      </c>
      <c r="E70" s="7">
        <v>6.15</v>
      </c>
      <c r="F70" s="7">
        <v>0</v>
      </c>
      <c r="G70" s="7">
        <v>0</v>
      </c>
      <c r="H70" s="7">
        <v>0</v>
      </c>
      <c r="I70" s="7"/>
      <c r="J70" s="7">
        <f>SUM(D70:H70)</f>
        <v>58.949999999999996</v>
      </c>
      <c r="K70" s="1"/>
      <c r="L70" s="1"/>
    </row>
    <row r="71" spans="1:12">
      <c r="A71" s="1"/>
      <c r="B71" s="1"/>
      <c r="C71" s="1" t="s">
        <v>10</v>
      </c>
      <c r="D71" s="7">
        <f>SUM(D69:D70)</f>
        <v>1634.9099999999999</v>
      </c>
      <c r="E71" s="7">
        <f>SUM(E69:E70)</f>
        <v>184.15</v>
      </c>
      <c r="F71" s="7">
        <f>SUM(F69:F70)</f>
        <v>0</v>
      </c>
      <c r="G71" s="7">
        <f>SUM(G69:G70)</f>
        <v>0</v>
      </c>
      <c r="H71" s="7">
        <f>SUM(H69:H70)</f>
        <v>0</v>
      </c>
      <c r="I71" s="7"/>
      <c r="J71" s="7">
        <f>SUM(D71:H71)</f>
        <v>1819.06</v>
      </c>
      <c r="K71" s="1"/>
      <c r="L71" s="1"/>
    </row>
    <row r="72" spans="1:12">
      <c r="A72" s="1"/>
      <c r="B72" s="1"/>
      <c r="C72" s="1"/>
      <c r="D72" s="7"/>
      <c r="E72" s="7"/>
      <c r="F72" s="7"/>
      <c r="G72" s="7"/>
      <c r="H72" s="7"/>
      <c r="I72" s="7"/>
      <c r="J72" s="7"/>
      <c r="K72" s="1"/>
      <c r="L72" s="1"/>
    </row>
    <row r="73" spans="1:12">
      <c r="A73" s="1"/>
      <c r="B73" s="1"/>
      <c r="C73" s="1"/>
      <c r="D73" s="7"/>
      <c r="E73" s="7"/>
      <c r="F73" s="7"/>
      <c r="G73" s="7"/>
      <c r="H73" s="7"/>
      <c r="I73" s="7"/>
      <c r="J73" s="7"/>
      <c r="K73" s="1"/>
      <c r="L73" s="1"/>
    </row>
    <row r="74" spans="1:12">
      <c r="A74" s="1" t="s">
        <v>14</v>
      </c>
      <c r="B74" s="1"/>
      <c r="C74" s="1"/>
      <c r="D74" s="7"/>
      <c r="E74" s="7"/>
      <c r="F74" s="7"/>
      <c r="G74" s="7"/>
      <c r="H74" s="7"/>
      <c r="I74" s="7"/>
      <c r="J74" s="7"/>
      <c r="K74" s="1"/>
      <c r="L74" s="1"/>
    </row>
    <row r="75" spans="1:12">
      <c r="A75" s="1">
        <v>32</v>
      </c>
      <c r="B75" s="1" t="s">
        <v>25</v>
      </c>
      <c r="C75" s="1" t="s">
        <v>12</v>
      </c>
      <c r="D75" s="7">
        <v>6093.28</v>
      </c>
      <c r="E75" s="7">
        <v>0</v>
      </c>
      <c r="F75" s="7">
        <v>0</v>
      </c>
      <c r="G75" s="7">
        <v>0</v>
      </c>
      <c r="H75" s="7">
        <v>0</v>
      </c>
      <c r="I75" s="7"/>
      <c r="J75" s="7">
        <f>SUM(D75:H75)</f>
        <v>6093.28</v>
      </c>
      <c r="K75" s="1"/>
      <c r="L75" s="1"/>
    </row>
    <row r="76" spans="1:12">
      <c r="A76" s="1"/>
      <c r="B76" s="1"/>
      <c r="C76" s="1" t="s">
        <v>13</v>
      </c>
      <c r="D76" s="7">
        <v>156.12</v>
      </c>
      <c r="E76" s="7">
        <v>0</v>
      </c>
      <c r="F76" s="7">
        <v>0</v>
      </c>
      <c r="G76" s="7">
        <v>0</v>
      </c>
      <c r="H76" s="7">
        <v>0</v>
      </c>
      <c r="I76" s="7"/>
      <c r="J76" s="7">
        <f>SUM(D76:H76)</f>
        <v>156.12</v>
      </c>
      <c r="K76" s="1"/>
      <c r="L76" s="1"/>
    </row>
    <row r="77" spans="1:12">
      <c r="A77" s="1"/>
      <c r="B77" s="1"/>
      <c r="C77" s="1" t="s">
        <v>10</v>
      </c>
      <c r="D77" s="7">
        <f>SUM(D75:D76)</f>
        <v>6249.4</v>
      </c>
      <c r="E77" s="7">
        <f>SUM(E75:E76)</f>
        <v>0</v>
      </c>
      <c r="F77" s="7">
        <f>SUM(F75:F76)</f>
        <v>0</v>
      </c>
      <c r="G77" s="7">
        <f>SUM(G75:G76)</f>
        <v>0</v>
      </c>
      <c r="H77" s="7">
        <f>SUM(H75:H76)</f>
        <v>0</v>
      </c>
      <c r="I77" s="7"/>
      <c r="J77" s="7">
        <f>SUM(D77:H77)</f>
        <v>6249.4</v>
      </c>
      <c r="K77" s="1"/>
      <c r="L77" s="1"/>
    </row>
    <row r="78" spans="1:12">
      <c r="A78" s="1"/>
      <c r="B78" s="1"/>
      <c r="C78" s="1"/>
      <c r="D78" s="1"/>
      <c r="E78" s="1"/>
      <c r="F78" s="1"/>
      <c r="G78" s="1"/>
      <c r="H78" s="1"/>
      <c r="I78" s="1"/>
      <c r="J78" s="7"/>
      <c r="K78" s="1"/>
      <c r="L78" s="1"/>
    </row>
    <row r="79" spans="1:12">
      <c r="A79" s="1"/>
      <c r="B79" s="1"/>
      <c r="C79" s="1"/>
      <c r="D79" s="1"/>
      <c r="E79" s="1"/>
      <c r="F79" s="1"/>
      <c r="G79" s="1"/>
      <c r="H79" s="1"/>
      <c r="I79" s="1"/>
      <c r="J79" s="7"/>
      <c r="K79" s="1"/>
      <c r="L79" s="1"/>
    </row>
    <row r="80" spans="1:12">
      <c r="A80" s="1" t="s">
        <v>14</v>
      </c>
      <c r="B80" s="1"/>
      <c r="C80" s="1"/>
      <c r="D80" s="1"/>
      <c r="E80" s="1"/>
      <c r="F80" s="1"/>
      <c r="G80" s="1"/>
      <c r="H80" s="1"/>
      <c r="I80" s="1"/>
      <c r="J80" s="7"/>
      <c r="K80" s="1"/>
      <c r="L80" s="1"/>
    </row>
    <row r="81" spans="1:12">
      <c r="A81" s="1">
        <v>33</v>
      </c>
      <c r="B81" s="1" t="s">
        <v>26</v>
      </c>
      <c r="C81" s="1" t="s">
        <v>12</v>
      </c>
      <c r="D81" s="7">
        <v>7619.42</v>
      </c>
      <c r="E81" s="7">
        <v>237.77</v>
      </c>
      <c r="F81" s="7">
        <v>228.54</v>
      </c>
      <c r="G81" s="7">
        <v>0</v>
      </c>
      <c r="H81" s="7">
        <v>0</v>
      </c>
      <c r="I81" s="7"/>
      <c r="J81" s="7">
        <f>SUM(D81:H81)</f>
        <v>8085.7300000000005</v>
      </c>
      <c r="K81" s="1"/>
      <c r="L81" s="1"/>
    </row>
    <row r="82" spans="1:12">
      <c r="A82" s="1"/>
      <c r="B82" s="1"/>
      <c r="C82" s="1" t="s">
        <v>13</v>
      </c>
      <c r="D82" s="7">
        <v>101.3</v>
      </c>
      <c r="E82" s="7">
        <v>3.39</v>
      </c>
      <c r="F82" s="7">
        <v>3.38</v>
      </c>
      <c r="G82" s="7">
        <v>0</v>
      </c>
      <c r="H82" s="7">
        <v>0</v>
      </c>
      <c r="I82" s="7"/>
      <c r="J82" s="7">
        <f>SUM(D82:H82)</f>
        <v>108.07</v>
      </c>
      <c r="K82" s="1"/>
      <c r="L82" s="1"/>
    </row>
    <row r="83" spans="1:12">
      <c r="A83" s="1"/>
      <c r="B83" s="1"/>
      <c r="C83" s="1" t="s">
        <v>10</v>
      </c>
      <c r="D83" s="7">
        <f>SUM(D81:D82)</f>
        <v>7720.72</v>
      </c>
      <c r="E83" s="7">
        <f>SUM(E81:E82)</f>
        <v>241.16</v>
      </c>
      <c r="F83" s="7">
        <f>SUM(F81:F82)</f>
        <v>231.92</v>
      </c>
      <c r="G83" s="7">
        <f>SUM(G81:G82)</f>
        <v>0</v>
      </c>
      <c r="H83" s="7">
        <f>SUM(H81:H82)</f>
        <v>0</v>
      </c>
      <c r="I83" s="7"/>
      <c r="J83" s="7">
        <f>SUM(D83:H83)</f>
        <v>8193.7999999999993</v>
      </c>
      <c r="K83" s="1"/>
      <c r="L83" s="1"/>
    </row>
    <row r="84" spans="1:12">
      <c r="A84" s="1"/>
      <c r="B84" s="1"/>
      <c r="C84" s="1"/>
      <c r="D84" s="7"/>
      <c r="E84" s="7"/>
      <c r="F84" s="7"/>
      <c r="G84" s="7"/>
      <c r="H84" s="7"/>
      <c r="I84" s="7"/>
      <c r="J84" s="7"/>
      <c r="K84" s="1"/>
      <c r="L84" s="1"/>
    </row>
    <row r="85" spans="1:12">
      <c r="A85" s="1"/>
      <c r="B85" s="1"/>
      <c r="C85" s="1"/>
      <c r="D85" s="7"/>
      <c r="E85" s="7"/>
      <c r="F85" s="7"/>
      <c r="G85" s="7"/>
      <c r="H85" s="7"/>
      <c r="I85" s="7"/>
      <c r="J85" s="7"/>
      <c r="K85" s="1"/>
      <c r="L85" s="1"/>
    </row>
    <row r="86" spans="1:12">
      <c r="A86" s="1" t="s">
        <v>14</v>
      </c>
      <c r="B86" s="1"/>
      <c r="C86" s="1"/>
      <c r="D86" s="7"/>
      <c r="E86" s="7"/>
      <c r="F86" s="7"/>
      <c r="G86" s="7"/>
      <c r="H86" s="7"/>
      <c r="I86" s="7"/>
      <c r="J86" s="7"/>
      <c r="K86" s="1"/>
      <c r="L86" s="1"/>
    </row>
    <row r="87" spans="1:12">
      <c r="A87" s="1">
        <v>34</v>
      </c>
      <c r="B87" s="1" t="s">
        <v>27</v>
      </c>
      <c r="C87" s="1" t="s">
        <v>12</v>
      </c>
      <c r="D87" s="7">
        <v>6059.3</v>
      </c>
      <c r="E87" s="7">
        <v>653.04</v>
      </c>
      <c r="F87" s="7">
        <v>150.47999999999999</v>
      </c>
      <c r="G87" s="7">
        <v>0</v>
      </c>
      <c r="H87" s="7">
        <v>0</v>
      </c>
      <c r="I87" s="7"/>
      <c r="J87" s="7">
        <f>SUM(D87:H87)</f>
        <v>6862.82</v>
      </c>
      <c r="K87" s="1"/>
      <c r="L87" s="1"/>
    </row>
    <row r="88" spans="1:12">
      <c r="A88" s="1"/>
      <c r="B88" s="1"/>
      <c r="C88" s="1" t="s">
        <v>13</v>
      </c>
      <c r="D88" s="7">
        <v>313.45</v>
      </c>
      <c r="E88" s="7">
        <v>29.73</v>
      </c>
      <c r="F88" s="7">
        <v>15.08</v>
      </c>
      <c r="G88" s="7">
        <v>0</v>
      </c>
      <c r="H88" s="7">
        <v>0</v>
      </c>
      <c r="I88" s="7"/>
      <c r="J88" s="7">
        <f>SUM(D88:H88)</f>
        <v>358.26</v>
      </c>
      <c r="K88" s="1"/>
      <c r="L88" s="1"/>
    </row>
    <row r="89" spans="1:12">
      <c r="A89" s="1"/>
      <c r="B89" s="1"/>
      <c r="C89" s="1" t="s">
        <v>10</v>
      </c>
      <c r="D89" s="7">
        <f>SUM(D87:D88)</f>
        <v>6372.75</v>
      </c>
      <c r="E89" s="7">
        <f>SUM(E87:E88)</f>
        <v>682.77</v>
      </c>
      <c r="F89" s="7">
        <f>SUM(F87:F88)</f>
        <v>165.56</v>
      </c>
      <c r="G89" s="7">
        <f>SUM(G87:G88)</f>
        <v>0</v>
      </c>
      <c r="H89" s="7">
        <f>SUM(H87:H88)</f>
        <v>0</v>
      </c>
      <c r="I89" s="7"/>
      <c r="J89" s="7">
        <f>SUM(D89:H89)</f>
        <v>7221.0800000000008</v>
      </c>
      <c r="K89" s="1"/>
      <c r="L89" s="1"/>
    </row>
    <row r="90" spans="1:12">
      <c r="A90" s="1"/>
      <c r="B90" s="1"/>
      <c r="C90" s="1"/>
      <c r="D90" s="7"/>
      <c r="E90" s="7"/>
      <c r="F90" s="7"/>
      <c r="G90" s="7"/>
      <c r="H90" s="7"/>
      <c r="I90" s="7"/>
      <c r="J90" s="7"/>
      <c r="K90" s="1"/>
      <c r="L90" s="1"/>
    </row>
    <row r="91" spans="1:12">
      <c r="A91" s="1"/>
      <c r="B91" s="1"/>
      <c r="C91" s="1"/>
      <c r="D91" s="7"/>
      <c r="E91" s="7"/>
      <c r="F91" s="7"/>
      <c r="G91" s="7"/>
      <c r="H91" s="7"/>
      <c r="I91" s="7"/>
      <c r="J91" s="7"/>
      <c r="K91" s="1"/>
      <c r="L91" s="1"/>
    </row>
    <row r="92" spans="1:12">
      <c r="A92" s="1" t="s">
        <v>14</v>
      </c>
      <c r="B92" s="1"/>
      <c r="C92" s="1"/>
      <c r="D92" s="7"/>
      <c r="E92" s="7"/>
      <c r="F92" s="7"/>
      <c r="G92" s="7"/>
      <c r="H92" s="7"/>
      <c r="I92" s="7"/>
      <c r="J92" s="7"/>
      <c r="K92" s="1"/>
      <c r="L92" s="1"/>
    </row>
    <row r="93" spans="1:12">
      <c r="A93" s="1">
        <v>35</v>
      </c>
      <c r="B93" s="1" t="s">
        <v>28</v>
      </c>
      <c r="C93" s="1" t="s">
        <v>12</v>
      </c>
      <c r="D93" s="7">
        <v>5970.74</v>
      </c>
      <c r="E93" s="7">
        <v>217.07</v>
      </c>
      <c r="F93" s="7">
        <v>178.6</v>
      </c>
      <c r="G93" s="7">
        <v>154.65</v>
      </c>
      <c r="H93" s="7">
        <v>6.68</v>
      </c>
      <c r="I93" s="7"/>
      <c r="J93" s="7">
        <f>SUM(D93:H93)</f>
        <v>6527.74</v>
      </c>
      <c r="K93" s="1"/>
      <c r="L93" s="1"/>
    </row>
    <row r="94" spans="1:12">
      <c r="A94" s="1"/>
      <c r="B94" s="1"/>
      <c r="C94" s="1"/>
      <c r="D94" s="7"/>
      <c r="E94" s="7"/>
      <c r="F94" s="7"/>
      <c r="G94" s="7"/>
      <c r="H94" s="7"/>
      <c r="I94" s="7"/>
      <c r="J94" s="7">
        <f>SUM(D94:H94)</f>
        <v>0</v>
      </c>
      <c r="K94" s="1"/>
      <c r="L94" s="1"/>
    </row>
    <row r="95" spans="1:12">
      <c r="A95" s="1"/>
      <c r="B95" s="1"/>
      <c r="C95" s="1" t="s">
        <v>10</v>
      </c>
      <c r="D95" s="7">
        <f>SUM(D93:D94)</f>
        <v>5970.74</v>
      </c>
      <c r="E95" s="7">
        <f>SUM(E93:E94)</f>
        <v>217.07</v>
      </c>
      <c r="F95" s="7">
        <f>SUM(F93:F94)</f>
        <v>178.6</v>
      </c>
      <c r="G95" s="7">
        <f>SUM(G93:G94)</f>
        <v>154.65</v>
      </c>
      <c r="H95" s="7">
        <f>SUM(H93:H94)</f>
        <v>6.68</v>
      </c>
      <c r="I95" s="7"/>
      <c r="J95" s="7">
        <f>SUM(D95:H95)</f>
        <v>6527.74</v>
      </c>
      <c r="K95" s="1"/>
      <c r="L95" s="1"/>
    </row>
    <row r="96" spans="1:12">
      <c r="A96" s="1"/>
      <c r="B96" s="1"/>
      <c r="C96" s="1"/>
      <c r="D96" s="7"/>
      <c r="E96" s="7"/>
      <c r="F96" s="7"/>
      <c r="G96" s="7"/>
      <c r="H96" s="7"/>
      <c r="I96" s="7"/>
      <c r="J96" s="7"/>
      <c r="K96" s="1"/>
      <c r="L96" s="1"/>
    </row>
    <row r="97" spans="1:12">
      <c r="A97" s="1"/>
      <c r="B97" s="1"/>
      <c r="C97" s="1"/>
      <c r="D97" s="7"/>
      <c r="E97" s="7"/>
      <c r="F97" s="7"/>
      <c r="G97" s="7"/>
      <c r="H97" s="7"/>
      <c r="I97" s="7"/>
      <c r="J97" s="7"/>
      <c r="K97" s="1"/>
      <c r="L97" s="1"/>
    </row>
    <row r="98" spans="1:12">
      <c r="A98" s="1" t="s">
        <v>14</v>
      </c>
      <c r="B98" s="1"/>
      <c r="C98" s="1"/>
      <c r="D98" s="7"/>
      <c r="E98" s="7"/>
      <c r="F98" s="7"/>
      <c r="G98" s="7"/>
      <c r="H98" s="7"/>
      <c r="I98" s="7"/>
      <c r="J98" s="7"/>
      <c r="K98" s="1"/>
      <c r="L98" s="1"/>
    </row>
    <row r="99" spans="1:12">
      <c r="A99" s="1">
        <v>36</v>
      </c>
      <c r="B99" s="1" t="s">
        <v>29</v>
      </c>
      <c r="C99" s="1" t="s">
        <v>12</v>
      </c>
      <c r="D99" s="7">
        <v>5739.03</v>
      </c>
      <c r="E99" s="7">
        <v>504.41</v>
      </c>
      <c r="F99" s="7">
        <v>141.93</v>
      </c>
      <c r="G99" s="7">
        <v>136.72</v>
      </c>
      <c r="H99" s="7">
        <v>0</v>
      </c>
      <c r="I99" s="7"/>
      <c r="J99" s="7">
        <f>SUM(D99:H99)</f>
        <v>6522.09</v>
      </c>
      <c r="K99" s="1"/>
      <c r="L99" s="1"/>
    </row>
    <row r="100" spans="1:12">
      <c r="A100" s="1"/>
      <c r="B100" s="1"/>
      <c r="C100" s="1" t="s">
        <v>13</v>
      </c>
      <c r="D100" s="7">
        <v>209.01</v>
      </c>
      <c r="E100" s="7">
        <v>18.82</v>
      </c>
      <c r="F100" s="7">
        <v>11.7</v>
      </c>
      <c r="G100" s="7">
        <v>11.74</v>
      </c>
      <c r="H100" s="7">
        <v>0</v>
      </c>
      <c r="I100" s="7"/>
      <c r="J100" s="7">
        <f>SUM(D100:H100)</f>
        <v>251.26999999999998</v>
      </c>
      <c r="K100" s="1"/>
      <c r="L100" s="1"/>
    </row>
    <row r="101" spans="1:12">
      <c r="A101" s="1"/>
      <c r="B101" s="1"/>
      <c r="C101" s="1" t="s">
        <v>10</v>
      </c>
      <c r="D101" s="7">
        <f>SUM(D99:D100)</f>
        <v>5948.04</v>
      </c>
      <c r="E101" s="7">
        <f>SUM(E99:E100)</f>
        <v>523.23</v>
      </c>
      <c r="F101" s="7">
        <f>SUM(F99:F100)</f>
        <v>153.63</v>
      </c>
      <c r="G101" s="7">
        <f>SUM(G99:G100)</f>
        <v>148.46</v>
      </c>
      <c r="H101" s="7">
        <f>SUM(H99:H100)</f>
        <v>0</v>
      </c>
      <c r="I101" s="7"/>
      <c r="J101" s="7">
        <f>SUM(D101:H101)</f>
        <v>6773.3600000000006</v>
      </c>
      <c r="K101" s="1"/>
      <c r="L101" s="1"/>
    </row>
    <row r="102" spans="1:12">
      <c r="A102" s="1"/>
      <c r="B102" s="1"/>
      <c r="C102" s="1"/>
      <c r="D102" s="7"/>
      <c r="E102" s="7"/>
      <c r="F102" s="7"/>
      <c r="G102" s="7"/>
      <c r="H102" s="7"/>
      <c r="I102" s="7"/>
      <c r="J102" s="7"/>
      <c r="K102" s="1"/>
      <c r="L102" s="1"/>
    </row>
    <row r="103" spans="1:12">
      <c r="A103" s="1"/>
      <c r="B103" s="1"/>
      <c r="C103" s="1"/>
      <c r="D103" s="7"/>
      <c r="E103" s="7"/>
      <c r="F103" s="7"/>
      <c r="G103" s="7"/>
      <c r="H103" s="7"/>
      <c r="I103" s="7"/>
      <c r="J103" s="7"/>
      <c r="K103" s="1"/>
      <c r="L103" s="1"/>
    </row>
    <row r="104" spans="1:12">
      <c r="A104" s="1" t="s">
        <v>14</v>
      </c>
      <c r="B104" s="1"/>
      <c r="C104" s="1"/>
      <c r="D104" s="7"/>
      <c r="E104" s="7"/>
      <c r="F104" s="7"/>
      <c r="G104" s="7"/>
      <c r="H104" s="7"/>
      <c r="I104" s="7"/>
      <c r="J104" s="7"/>
      <c r="K104" s="1"/>
      <c r="L104" s="1"/>
    </row>
    <row r="105" spans="1:12">
      <c r="A105" s="1">
        <v>37</v>
      </c>
      <c r="B105" s="1" t="s">
        <v>30</v>
      </c>
      <c r="C105" s="1" t="s">
        <v>12</v>
      </c>
      <c r="D105" s="7">
        <v>6045.06</v>
      </c>
      <c r="E105" s="7">
        <v>26.45</v>
      </c>
      <c r="F105" s="7">
        <v>11.11</v>
      </c>
      <c r="G105" s="7">
        <v>6.74</v>
      </c>
      <c r="H105" s="7">
        <v>0</v>
      </c>
      <c r="I105" s="7"/>
      <c r="J105" s="7">
        <f>SUM(D105:H105)</f>
        <v>6089.36</v>
      </c>
      <c r="K105" s="1"/>
      <c r="L105" s="1"/>
    </row>
    <row r="106" spans="1:12">
      <c r="A106" s="1"/>
      <c r="B106" s="1"/>
      <c r="C106" s="1"/>
      <c r="D106" s="7"/>
      <c r="E106" s="7"/>
      <c r="F106" s="7"/>
      <c r="G106" s="7"/>
      <c r="H106" s="7"/>
      <c r="I106" s="7"/>
      <c r="J106" s="7">
        <f>SUM(D106:H106)</f>
        <v>0</v>
      </c>
      <c r="K106" s="1"/>
      <c r="L106" s="1"/>
    </row>
    <row r="107" spans="1:12">
      <c r="A107" s="1"/>
      <c r="B107" s="1"/>
      <c r="C107" s="1" t="s">
        <v>10</v>
      </c>
      <c r="D107" s="7">
        <f>SUM(D105:D106)</f>
        <v>6045.06</v>
      </c>
      <c r="E107" s="7">
        <f>SUM(E105:E106)</f>
        <v>26.45</v>
      </c>
      <c r="F107" s="7">
        <f>SUM(F105:F106)</f>
        <v>11.11</v>
      </c>
      <c r="G107" s="7">
        <f>SUM(G105:G106)</f>
        <v>6.74</v>
      </c>
      <c r="H107" s="7">
        <f>SUM(H105:H106)</f>
        <v>0</v>
      </c>
      <c r="I107" s="7"/>
      <c r="J107" s="7">
        <f>SUM(D107:H107)</f>
        <v>6089.36</v>
      </c>
      <c r="K107" s="1"/>
      <c r="L107" s="1"/>
    </row>
    <row r="108" spans="1:12">
      <c r="A108" s="1"/>
      <c r="B108" s="1"/>
      <c r="C108" s="1"/>
      <c r="D108" s="7"/>
      <c r="E108" s="7"/>
      <c r="F108" s="7"/>
      <c r="G108" s="7"/>
      <c r="H108" s="7"/>
      <c r="I108" s="7"/>
      <c r="J108" s="7"/>
      <c r="K108" s="1"/>
      <c r="L108" s="1"/>
    </row>
    <row r="109" spans="1:12">
      <c r="A109" s="1"/>
      <c r="B109" s="1"/>
      <c r="C109" s="1"/>
      <c r="D109" s="7"/>
      <c r="E109" s="7"/>
      <c r="F109" s="7"/>
      <c r="G109" s="7"/>
      <c r="H109" s="7"/>
      <c r="I109" s="7"/>
      <c r="J109" s="7"/>
      <c r="K109" s="1"/>
      <c r="L109" s="1"/>
    </row>
    <row r="110" spans="1:12">
      <c r="A110" s="1" t="s">
        <v>14</v>
      </c>
      <c r="B110" s="1"/>
      <c r="C110" s="1"/>
      <c r="D110" s="7"/>
      <c r="E110" s="7"/>
      <c r="F110" s="7"/>
      <c r="G110" s="7"/>
      <c r="H110" s="7"/>
      <c r="I110" s="7"/>
      <c r="J110" s="7"/>
      <c r="K110" s="1"/>
      <c r="L110" s="1"/>
    </row>
    <row r="111" spans="1:12">
      <c r="A111" s="1">
        <v>38</v>
      </c>
      <c r="B111" s="1" t="s">
        <v>31</v>
      </c>
      <c r="C111" s="1" t="s">
        <v>12</v>
      </c>
      <c r="D111" s="7">
        <v>10746.77</v>
      </c>
      <c r="E111" s="7">
        <v>147.36000000000001</v>
      </c>
      <c r="F111" s="7">
        <v>149.12</v>
      </c>
      <c r="G111" s="7">
        <v>193.34</v>
      </c>
      <c r="H111" s="7">
        <v>105.14</v>
      </c>
      <c r="I111" s="7"/>
      <c r="J111" s="7">
        <f>SUM(D111:H111)</f>
        <v>11341.730000000001</v>
      </c>
      <c r="K111" s="1"/>
      <c r="L111" s="1"/>
    </row>
    <row r="112" spans="1:12">
      <c r="A112" s="1"/>
      <c r="B112" s="1"/>
      <c r="C112" s="1" t="s">
        <v>13</v>
      </c>
      <c r="D112" s="7">
        <v>637.26</v>
      </c>
      <c r="E112" s="7">
        <v>6.35</v>
      </c>
      <c r="F112" s="7">
        <v>12.84</v>
      </c>
      <c r="G112" s="7">
        <v>10.89</v>
      </c>
      <c r="H112" s="7">
        <v>12.07</v>
      </c>
      <c r="I112" s="7"/>
      <c r="J112" s="7">
        <f>SUM(D112:H112)</f>
        <v>679.41000000000008</v>
      </c>
      <c r="K112" s="1"/>
      <c r="L112" s="1"/>
    </row>
    <row r="113" spans="1:12">
      <c r="A113" s="1"/>
      <c r="B113" s="1"/>
      <c r="C113" s="1" t="s">
        <v>10</v>
      </c>
      <c r="D113" s="7">
        <f>SUM(D111:D112)</f>
        <v>11384.03</v>
      </c>
      <c r="E113" s="7">
        <f>SUM(E111:E112)</f>
        <v>153.71</v>
      </c>
      <c r="F113" s="7">
        <f>SUM(F111:F112)</f>
        <v>161.96</v>
      </c>
      <c r="G113" s="7">
        <f>SUM(G111:G112)</f>
        <v>204.23000000000002</v>
      </c>
      <c r="H113" s="7">
        <f>SUM(H111:H112)</f>
        <v>117.21000000000001</v>
      </c>
      <c r="I113" s="7"/>
      <c r="J113" s="7">
        <f>SUM(D113:H113)</f>
        <v>12021.139999999998</v>
      </c>
      <c r="K113" s="1"/>
      <c r="L113" s="1"/>
    </row>
    <row r="114" spans="1:12">
      <c r="A114" s="1"/>
      <c r="B114" s="1"/>
      <c r="C114" s="1"/>
      <c r="D114" s="7"/>
      <c r="E114" s="7"/>
      <c r="F114" s="7"/>
      <c r="G114" s="7"/>
      <c r="H114" s="7"/>
      <c r="I114" s="7"/>
      <c r="J114" s="7"/>
      <c r="K114" s="1"/>
      <c r="L114" s="1"/>
    </row>
    <row r="115" spans="1:12">
      <c r="A115" s="1"/>
      <c r="B115" s="1"/>
      <c r="C115" s="1"/>
      <c r="D115" s="7"/>
      <c r="E115" s="7"/>
      <c r="F115" s="7"/>
      <c r="G115" s="7"/>
      <c r="H115" s="7"/>
      <c r="I115" s="7"/>
      <c r="J115" s="7"/>
      <c r="K115" s="1"/>
      <c r="L115" s="1"/>
    </row>
    <row r="116" spans="1:12">
      <c r="A116" s="1" t="s">
        <v>14</v>
      </c>
      <c r="B116" s="1"/>
      <c r="C116" s="1"/>
      <c r="D116" s="7"/>
      <c r="E116" s="7"/>
      <c r="F116" s="7"/>
      <c r="G116" s="7"/>
      <c r="H116" s="7"/>
      <c r="I116" s="7"/>
      <c r="J116" s="7"/>
      <c r="K116" s="1"/>
      <c r="L116" s="1"/>
    </row>
    <row r="117" spans="1:12">
      <c r="A117" s="1">
        <v>39</v>
      </c>
      <c r="B117" s="1" t="s">
        <v>32</v>
      </c>
      <c r="C117" s="1" t="s">
        <v>12</v>
      </c>
      <c r="D117" s="7"/>
      <c r="E117" s="7">
        <v>0</v>
      </c>
      <c r="F117" s="7">
        <v>0</v>
      </c>
      <c r="G117" s="7">
        <v>0</v>
      </c>
      <c r="H117" s="7">
        <v>0</v>
      </c>
      <c r="I117" s="7"/>
      <c r="J117" s="7">
        <f>SUM(D117:H117)</f>
        <v>0</v>
      </c>
      <c r="K117" s="1"/>
      <c r="L117" s="1"/>
    </row>
    <row r="118" spans="1:12">
      <c r="A118" s="1"/>
      <c r="B118" s="1"/>
      <c r="C118" s="1"/>
      <c r="D118" s="7"/>
      <c r="E118" s="7"/>
      <c r="F118" s="7"/>
      <c r="G118" s="7"/>
      <c r="H118" s="7"/>
      <c r="I118" s="7"/>
      <c r="J118" s="7">
        <f>SUM(D118:H118)</f>
        <v>0</v>
      </c>
      <c r="K118" s="1"/>
      <c r="L118" s="1"/>
    </row>
    <row r="119" spans="1:12">
      <c r="A119" s="1"/>
      <c r="B119" s="1"/>
      <c r="C119" s="1" t="s">
        <v>10</v>
      </c>
      <c r="D119" s="7"/>
      <c r="E119" s="7">
        <f>SUM(E117:E118)</f>
        <v>0</v>
      </c>
      <c r="F119" s="7">
        <f>SUM(F117:F118)</f>
        <v>0</v>
      </c>
      <c r="G119" s="7">
        <f>SUM(G117:G118)</f>
        <v>0</v>
      </c>
      <c r="H119" s="7">
        <f>SUM(H117:H118)</f>
        <v>0</v>
      </c>
      <c r="I119" s="7"/>
      <c r="J119" s="7">
        <f>SUM(D119:H119)</f>
        <v>0</v>
      </c>
      <c r="K119" s="1"/>
      <c r="L119" s="1"/>
    </row>
    <row r="120" spans="1:12">
      <c r="A120" s="1"/>
      <c r="B120" s="1"/>
      <c r="C120" s="1"/>
      <c r="D120" s="7"/>
      <c r="E120" s="7"/>
      <c r="F120" s="7"/>
      <c r="G120" s="7"/>
      <c r="H120" s="7"/>
      <c r="I120" s="7"/>
      <c r="J120" s="7"/>
      <c r="K120" s="1"/>
      <c r="L120" s="1"/>
    </row>
    <row r="121" spans="1:12">
      <c r="A121" s="1"/>
      <c r="B121" s="1"/>
      <c r="C121" s="1"/>
      <c r="D121" s="7"/>
      <c r="E121" s="7"/>
      <c r="F121" s="7"/>
      <c r="G121" s="7"/>
      <c r="H121" s="7"/>
      <c r="I121" s="7"/>
      <c r="J121" s="7"/>
      <c r="K121" s="1"/>
      <c r="L121" s="1"/>
    </row>
    <row r="122" spans="1:12">
      <c r="A122" s="1" t="s">
        <v>14</v>
      </c>
      <c r="B122" s="1"/>
      <c r="C122" s="1"/>
      <c r="D122" s="7"/>
      <c r="E122" s="7"/>
      <c r="F122" s="7"/>
      <c r="G122" s="7"/>
      <c r="H122" s="7"/>
      <c r="I122" s="7"/>
      <c r="J122" s="7"/>
      <c r="K122" s="1"/>
      <c r="L122" s="1"/>
    </row>
    <row r="123" spans="1:12">
      <c r="A123" s="1">
        <v>40</v>
      </c>
      <c r="B123" s="1" t="s">
        <v>33</v>
      </c>
      <c r="C123" s="1" t="s">
        <v>12</v>
      </c>
      <c r="D123" s="7">
        <v>7713.07</v>
      </c>
      <c r="E123" s="7">
        <v>476.5</v>
      </c>
      <c r="F123" s="7">
        <v>120.61</v>
      </c>
      <c r="G123" s="7">
        <v>21.64</v>
      </c>
      <c r="H123" s="7">
        <v>0</v>
      </c>
      <c r="I123" s="7"/>
      <c r="J123" s="7">
        <f>SUM(D123:H123)</f>
        <v>8331.82</v>
      </c>
      <c r="K123" s="1"/>
      <c r="L123" s="1"/>
    </row>
    <row r="124" spans="1:12">
      <c r="A124" s="1"/>
      <c r="B124" s="1"/>
      <c r="C124" s="1"/>
      <c r="D124" s="7"/>
      <c r="E124" s="7"/>
      <c r="F124" s="7"/>
      <c r="G124" s="7"/>
      <c r="H124" s="7"/>
      <c r="I124" s="7"/>
      <c r="J124" s="7">
        <f>SUM(D124:H124)</f>
        <v>0</v>
      </c>
      <c r="K124" s="1"/>
      <c r="L124" s="1"/>
    </row>
    <row r="125" spans="1:12">
      <c r="A125" s="1"/>
      <c r="B125" s="1"/>
      <c r="C125" s="1" t="s">
        <v>10</v>
      </c>
      <c r="D125" s="7">
        <f>SUM(D123:D124)</f>
        <v>7713.07</v>
      </c>
      <c r="E125" s="7">
        <f>SUM(E123:E124)</f>
        <v>476.5</v>
      </c>
      <c r="F125" s="7">
        <f>SUM(F123:F124)</f>
        <v>120.61</v>
      </c>
      <c r="G125" s="7">
        <f>SUM(G123:G124)</f>
        <v>21.64</v>
      </c>
      <c r="H125" s="7">
        <f>SUM(H123:H124)</f>
        <v>0</v>
      </c>
      <c r="I125" s="7"/>
      <c r="J125" s="7">
        <f>SUM(D125:H125)</f>
        <v>8331.82</v>
      </c>
      <c r="K125" s="1"/>
      <c r="L125" s="1"/>
    </row>
    <row r="126" spans="1:12">
      <c r="A126" s="1"/>
      <c r="B126" s="1"/>
      <c r="C126" s="1"/>
      <c r="D126" s="7"/>
      <c r="E126" s="7"/>
      <c r="F126" s="7"/>
      <c r="G126" s="7"/>
      <c r="H126" s="7"/>
      <c r="I126" s="7"/>
      <c r="J126" s="7"/>
      <c r="K126" s="1"/>
      <c r="L126" s="1"/>
    </row>
    <row r="127" spans="1:12">
      <c r="A127" s="1"/>
      <c r="B127" s="1"/>
      <c r="C127" s="1"/>
      <c r="D127" s="7"/>
      <c r="E127" s="7"/>
      <c r="F127" s="7"/>
      <c r="G127" s="7"/>
      <c r="H127" s="7"/>
      <c r="I127" s="7"/>
      <c r="J127" s="7"/>
      <c r="K127" s="1"/>
      <c r="L127" s="1"/>
    </row>
    <row r="128" spans="1:12">
      <c r="A128" s="1" t="s">
        <v>14</v>
      </c>
      <c r="B128" s="1"/>
      <c r="C128" s="1"/>
      <c r="D128" s="7"/>
      <c r="E128" s="7"/>
      <c r="F128" s="7"/>
      <c r="G128" s="7"/>
      <c r="H128" s="7"/>
      <c r="I128" s="7"/>
      <c r="J128" s="7"/>
      <c r="K128" s="1"/>
      <c r="L128" s="1"/>
    </row>
    <row r="129" spans="1:12">
      <c r="A129" s="1">
        <v>41</v>
      </c>
      <c r="B129" s="1" t="s">
        <v>34</v>
      </c>
      <c r="C129" s="1" t="s">
        <v>12</v>
      </c>
      <c r="D129" s="7">
        <v>6629.2</v>
      </c>
      <c r="E129" s="7">
        <v>0</v>
      </c>
      <c r="F129" s="7">
        <v>0</v>
      </c>
      <c r="G129" s="7">
        <v>0</v>
      </c>
      <c r="H129" s="7">
        <v>0</v>
      </c>
      <c r="I129" s="7"/>
      <c r="J129" s="7">
        <f>SUM(D129:H129)</f>
        <v>6629.2</v>
      </c>
      <c r="K129" s="1"/>
      <c r="L129" s="1"/>
    </row>
    <row r="130" spans="1:12">
      <c r="A130" s="1"/>
      <c r="B130" s="1"/>
      <c r="C130" s="1" t="s">
        <v>35</v>
      </c>
      <c r="D130" s="7">
        <v>273.14999999999998</v>
      </c>
      <c r="E130" s="7">
        <v>0</v>
      </c>
      <c r="F130" s="7">
        <v>0</v>
      </c>
      <c r="G130" s="7"/>
      <c r="H130" s="7"/>
      <c r="I130" s="7"/>
      <c r="J130" s="7">
        <f>SUM(D130:H130)</f>
        <v>273.14999999999998</v>
      </c>
      <c r="K130" s="1"/>
      <c r="L130" s="1"/>
    </row>
    <row r="131" spans="1:12">
      <c r="A131" s="1"/>
      <c r="B131" s="1"/>
      <c r="C131" s="1" t="s">
        <v>10</v>
      </c>
      <c r="D131" s="7">
        <f>SUM(D129:D130)</f>
        <v>6902.3499999999995</v>
      </c>
      <c r="E131" s="7">
        <f>SUM(E129:E130)</f>
        <v>0</v>
      </c>
      <c r="F131" s="7">
        <f>SUM(F129:F130)</f>
        <v>0</v>
      </c>
      <c r="G131" s="7">
        <f>SUM(G129:G130)</f>
        <v>0</v>
      </c>
      <c r="H131" s="7">
        <f>SUM(H129:H130)</f>
        <v>0</v>
      </c>
      <c r="I131" s="7"/>
      <c r="J131" s="7">
        <f>SUM(D131:H131)</f>
        <v>6902.3499999999995</v>
      </c>
      <c r="K131" s="1"/>
      <c r="L131" s="1"/>
    </row>
    <row r="132" spans="1:12">
      <c r="A132" s="1"/>
      <c r="B132" s="1"/>
      <c r="C132" s="1"/>
      <c r="D132" s="7"/>
      <c r="E132" s="7"/>
      <c r="F132" s="7"/>
      <c r="G132" s="7"/>
      <c r="H132" s="7"/>
      <c r="I132" s="7"/>
      <c r="J132" s="7"/>
      <c r="K132" s="1"/>
      <c r="L132" s="1"/>
    </row>
    <row r="133" spans="1:12">
      <c r="A133" s="1"/>
      <c r="B133" s="1"/>
      <c r="C133" s="1"/>
      <c r="D133" s="7"/>
      <c r="E133" s="7"/>
      <c r="F133" s="7"/>
      <c r="G133" s="7"/>
      <c r="H133" s="7"/>
      <c r="I133" s="7"/>
      <c r="J133" s="7"/>
      <c r="K133" s="1"/>
      <c r="L133" s="1"/>
    </row>
    <row r="134" spans="1:12">
      <c r="A134" s="1" t="s">
        <v>14</v>
      </c>
      <c r="B134" s="1"/>
      <c r="C134" s="1"/>
      <c r="D134" s="7"/>
      <c r="E134" s="7"/>
      <c r="F134" s="7"/>
      <c r="G134" s="7"/>
      <c r="H134" s="7"/>
      <c r="I134" s="7"/>
      <c r="J134" s="7"/>
      <c r="K134" s="1"/>
      <c r="L134" s="1"/>
    </row>
    <row r="135" spans="1:12">
      <c r="A135" s="1">
        <v>42</v>
      </c>
      <c r="B135" s="1" t="s">
        <v>36</v>
      </c>
      <c r="C135" s="1" t="s">
        <v>12</v>
      </c>
      <c r="D135" s="7">
        <v>4149.3599999999997</v>
      </c>
      <c r="E135" s="7">
        <v>12.56</v>
      </c>
      <c r="F135" s="7">
        <v>0</v>
      </c>
      <c r="G135" s="7">
        <v>0</v>
      </c>
      <c r="H135" s="7">
        <v>0</v>
      </c>
      <c r="I135" s="7"/>
      <c r="J135" s="7">
        <f>SUM(D135:H135)</f>
        <v>4161.92</v>
      </c>
      <c r="K135" s="1"/>
      <c r="L135" s="1"/>
    </row>
    <row r="136" spans="1:12">
      <c r="A136" s="1"/>
      <c r="B136" s="1"/>
      <c r="C136" s="1" t="s">
        <v>13</v>
      </c>
      <c r="D136" s="7">
        <v>225.91</v>
      </c>
      <c r="E136" s="7">
        <v>0.78</v>
      </c>
      <c r="F136" s="7">
        <v>0</v>
      </c>
      <c r="G136" s="7">
        <v>0</v>
      </c>
      <c r="H136" s="7">
        <v>0</v>
      </c>
      <c r="I136" s="7"/>
      <c r="J136" s="7">
        <f>SUM(D136:H136)</f>
        <v>226.69</v>
      </c>
      <c r="K136" s="1"/>
      <c r="L136" s="1"/>
    </row>
    <row r="137" spans="1:12">
      <c r="A137" s="1"/>
      <c r="B137" s="1"/>
      <c r="C137" s="1" t="s">
        <v>10</v>
      </c>
      <c r="D137" s="7">
        <f>SUM(D135:D136)</f>
        <v>4375.2699999999995</v>
      </c>
      <c r="E137" s="7">
        <f>SUM(E135:E136)</f>
        <v>13.34</v>
      </c>
      <c r="F137" s="7">
        <f>SUM(F135:F136)</f>
        <v>0</v>
      </c>
      <c r="G137" s="7">
        <f>SUM(G135:G136)</f>
        <v>0</v>
      </c>
      <c r="H137" s="7">
        <f>SUM(H135:H136)</f>
        <v>0</v>
      </c>
      <c r="I137" s="7"/>
      <c r="J137" s="7">
        <f>SUM(D137:H137)</f>
        <v>4388.6099999999997</v>
      </c>
      <c r="K137" s="1"/>
      <c r="L137" s="1"/>
    </row>
    <row r="138" spans="1:12">
      <c r="A138" s="1"/>
      <c r="B138" s="1"/>
      <c r="C138" s="1"/>
      <c r="D138" s="7"/>
      <c r="E138" s="7"/>
      <c r="F138" s="7"/>
      <c r="G138" s="7"/>
      <c r="H138" s="7"/>
      <c r="I138" s="7"/>
      <c r="J138" s="7"/>
      <c r="K138" s="1"/>
      <c r="L138" s="1"/>
    </row>
    <row r="139" spans="1:12">
      <c r="A139" s="1"/>
      <c r="B139" s="1"/>
      <c r="C139" s="1"/>
      <c r="D139" s="7"/>
      <c r="E139" s="7"/>
      <c r="F139" s="7"/>
      <c r="G139" s="7"/>
      <c r="H139" s="7"/>
      <c r="I139" s="7"/>
      <c r="J139" s="7"/>
      <c r="K139" s="1"/>
      <c r="L139" s="1"/>
    </row>
    <row r="140" spans="1:12">
      <c r="A140" s="1" t="s">
        <v>14</v>
      </c>
      <c r="B140" s="1"/>
      <c r="C140" s="1"/>
      <c r="D140" s="7"/>
      <c r="E140" s="7"/>
      <c r="F140" s="7"/>
      <c r="G140" s="7"/>
      <c r="H140" s="7"/>
      <c r="I140" s="7"/>
      <c r="J140" s="7"/>
      <c r="K140" s="1"/>
      <c r="L140" s="1"/>
    </row>
    <row r="141" spans="1:12">
      <c r="A141" s="1">
        <v>43</v>
      </c>
      <c r="B141" s="1" t="s">
        <v>37</v>
      </c>
      <c r="C141" s="1" t="s">
        <v>12</v>
      </c>
      <c r="D141" s="7">
        <v>6296.5</v>
      </c>
      <c r="E141" s="7">
        <v>56.4</v>
      </c>
      <c r="F141" s="7">
        <v>53.56</v>
      </c>
      <c r="G141" s="7">
        <v>0</v>
      </c>
      <c r="H141" s="7">
        <v>0</v>
      </c>
      <c r="I141" s="7"/>
      <c r="J141" s="7">
        <f>SUM(D141:H141)</f>
        <v>6406.46</v>
      </c>
      <c r="K141" s="1"/>
      <c r="L141" s="1"/>
    </row>
    <row r="142" spans="1:12">
      <c r="A142" s="1"/>
      <c r="B142" s="1"/>
      <c r="C142" s="1" t="s">
        <v>13</v>
      </c>
      <c r="D142" s="7">
        <v>275.29000000000002</v>
      </c>
      <c r="E142" s="7">
        <v>2.4</v>
      </c>
      <c r="F142" s="7">
        <v>4.74</v>
      </c>
      <c r="G142" s="7">
        <v>0</v>
      </c>
      <c r="H142" s="7">
        <v>0</v>
      </c>
      <c r="I142" s="7"/>
      <c r="J142" s="7">
        <f>SUM(D142:H142)</f>
        <v>282.43</v>
      </c>
      <c r="K142" s="1"/>
      <c r="L142" s="1"/>
    </row>
    <row r="143" spans="1:12">
      <c r="A143" s="1"/>
      <c r="B143" s="1"/>
      <c r="C143" s="1" t="s">
        <v>10</v>
      </c>
      <c r="D143" s="7">
        <f>SUM(D141:D142)</f>
        <v>6571.79</v>
      </c>
      <c r="E143" s="7">
        <f>SUM(E141:E142)</f>
        <v>58.8</v>
      </c>
      <c r="F143" s="7">
        <f>SUM(F141:F142)</f>
        <v>58.300000000000004</v>
      </c>
      <c r="G143" s="7">
        <f>SUM(G141:G142)</f>
        <v>0</v>
      </c>
      <c r="H143" s="7">
        <f>SUM(H141:H142)</f>
        <v>0</v>
      </c>
      <c r="I143" s="7"/>
      <c r="J143" s="7">
        <f>SUM(D143:H143)</f>
        <v>6688.89</v>
      </c>
      <c r="K143" s="1"/>
      <c r="L143" s="1"/>
    </row>
    <row r="144" spans="1:12">
      <c r="A144" s="1"/>
      <c r="B144" s="1"/>
      <c r="C144" s="1"/>
      <c r="D144" s="7"/>
      <c r="E144" s="7"/>
      <c r="F144" s="7"/>
      <c r="G144" s="7"/>
      <c r="H144" s="7"/>
      <c r="I144" s="7"/>
      <c r="J144" s="7"/>
      <c r="K144" s="1"/>
      <c r="L144" s="1"/>
    </row>
    <row r="145" spans="1:12">
      <c r="A145" s="1"/>
      <c r="B145" s="1"/>
      <c r="C145" s="1"/>
      <c r="D145" s="7"/>
      <c r="E145" s="7"/>
      <c r="F145" s="7"/>
      <c r="G145" s="7"/>
      <c r="H145" s="7"/>
      <c r="I145" s="7"/>
      <c r="J145" s="7"/>
      <c r="K145" s="1"/>
      <c r="L145" s="1"/>
    </row>
    <row r="146" spans="1:12">
      <c r="A146" s="1" t="s">
        <v>14</v>
      </c>
      <c r="B146" s="1"/>
      <c r="C146" s="1"/>
      <c r="D146" s="7"/>
      <c r="E146" s="7"/>
      <c r="F146" s="7"/>
      <c r="G146" s="7"/>
      <c r="H146" s="7"/>
      <c r="I146" s="7"/>
      <c r="J146" s="7"/>
      <c r="K146" s="1"/>
      <c r="L146" s="1"/>
    </row>
    <row r="147" spans="1:12">
      <c r="A147" s="1">
        <v>44</v>
      </c>
      <c r="B147" s="1" t="s">
        <v>38</v>
      </c>
      <c r="C147" s="1" t="s">
        <v>12</v>
      </c>
      <c r="D147" s="7">
        <v>7227.77</v>
      </c>
      <c r="E147" s="7">
        <v>361.06</v>
      </c>
      <c r="F147" s="7">
        <v>235.55</v>
      </c>
      <c r="G147" s="7">
        <v>99.32</v>
      </c>
      <c r="H147" s="7">
        <v>166.52</v>
      </c>
      <c r="I147" s="7"/>
      <c r="J147" s="7">
        <f>SUM(D147:H147)</f>
        <v>8090.2200000000012</v>
      </c>
      <c r="K147" s="1"/>
      <c r="L147" s="1"/>
    </row>
    <row r="148" spans="1:12">
      <c r="A148" s="1"/>
      <c r="B148" s="1"/>
      <c r="C148" s="1"/>
      <c r="D148" s="7"/>
      <c r="E148" s="7"/>
      <c r="F148" s="7"/>
      <c r="G148" s="7"/>
      <c r="H148" s="7"/>
      <c r="I148" s="7"/>
      <c r="J148" s="7">
        <f>SUM(D148:H148)</f>
        <v>0</v>
      </c>
      <c r="K148" s="1"/>
      <c r="L148" s="1"/>
    </row>
    <row r="149" spans="1:12">
      <c r="A149" s="1"/>
      <c r="B149" s="1"/>
      <c r="C149" s="1" t="s">
        <v>10</v>
      </c>
      <c r="D149" s="7">
        <f>SUM(D147:D148)</f>
        <v>7227.77</v>
      </c>
      <c r="E149" s="7">
        <f>SUM(E147:E148)</f>
        <v>361.06</v>
      </c>
      <c r="F149" s="7">
        <f>SUM(F147:F148)</f>
        <v>235.55</v>
      </c>
      <c r="G149" s="7">
        <f>SUM(G147:G148)</f>
        <v>99.32</v>
      </c>
      <c r="H149" s="7">
        <f>SUM(H147:H148)</f>
        <v>166.52</v>
      </c>
      <c r="I149" s="7"/>
      <c r="J149" s="7">
        <f>SUM(D149:H149)</f>
        <v>8090.2200000000012</v>
      </c>
      <c r="K149" s="1"/>
      <c r="L149" s="1"/>
    </row>
    <row r="150" spans="1:12">
      <c r="A150" s="1"/>
      <c r="B150" s="1"/>
      <c r="C150" s="1"/>
      <c r="D150" s="7"/>
      <c r="E150" s="7"/>
      <c r="F150" s="7"/>
      <c r="G150" s="7"/>
      <c r="H150" s="7"/>
      <c r="I150" s="7"/>
      <c r="J150" s="7"/>
      <c r="K150" s="1"/>
      <c r="L150" s="1"/>
    </row>
    <row r="151" spans="1:12">
      <c r="A151" s="1"/>
      <c r="B151" s="1"/>
      <c r="C151" s="1"/>
      <c r="D151" s="7"/>
      <c r="E151" s="7"/>
      <c r="F151" s="7"/>
      <c r="G151" s="7"/>
      <c r="H151" s="7"/>
      <c r="I151" s="7"/>
      <c r="J151" s="7"/>
      <c r="K151" s="1"/>
      <c r="L151" s="1"/>
    </row>
    <row r="152" spans="1:12">
      <c r="A152" s="1" t="s">
        <v>14</v>
      </c>
      <c r="B152" s="1"/>
      <c r="C152" s="1"/>
      <c r="D152" s="7"/>
      <c r="E152" s="7"/>
      <c r="F152" s="7"/>
      <c r="G152" s="7"/>
      <c r="H152" s="7"/>
      <c r="I152" s="7"/>
      <c r="J152" s="7"/>
      <c r="K152" s="1"/>
      <c r="L152" s="1"/>
    </row>
    <row r="153" spans="1:12">
      <c r="A153" s="1">
        <v>45</v>
      </c>
      <c r="B153" s="1" t="s">
        <v>39</v>
      </c>
      <c r="C153" s="1" t="s">
        <v>12</v>
      </c>
      <c r="D153" s="7">
        <v>5118.78</v>
      </c>
      <c r="E153" s="7">
        <v>327.63</v>
      </c>
      <c r="F153" s="7">
        <v>0.26</v>
      </c>
      <c r="G153" s="7">
        <v>0</v>
      </c>
      <c r="H153" s="7">
        <v>0</v>
      </c>
      <c r="I153" s="7"/>
      <c r="J153" s="7">
        <f>SUM(D153:H153)</f>
        <v>5446.67</v>
      </c>
      <c r="K153" s="1"/>
      <c r="L153" s="1"/>
    </row>
    <row r="154" spans="1:12">
      <c r="A154" s="1"/>
      <c r="B154" s="1"/>
      <c r="C154" s="1"/>
      <c r="D154" s="7"/>
      <c r="E154" s="7"/>
      <c r="F154" s="7"/>
      <c r="G154" s="7"/>
      <c r="H154" s="7"/>
      <c r="I154" s="7"/>
      <c r="J154" s="7">
        <f>SUM(D154:H154)</f>
        <v>0</v>
      </c>
      <c r="K154" s="1"/>
      <c r="L154" s="1"/>
    </row>
    <row r="155" spans="1:12">
      <c r="A155" s="1"/>
      <c r="B155" s="1"/>
      <c r="C155" s="1" t="s">
        <v>10</v>
      </c>
      <c r="D155" s="7">
        <f>SUM(D153:D154)</f>
        <v>5118.78</v>
      </c>
      <c r="E155" s="7">
        <f>SUM(E153:E154)</f>
        <v>327.63</v>
      </c>
      <c r="F155" s="7">
        <f>SUM(F153:F154)</f>
        <v>0.26</v>
      </c>
      <c r="G155" s="7">
        <f>SUM(G153:G154)</f>
        <v>0</v>
      </c>
      <c r="H155" s="7">
        <f>SUM(H153:H154)</f>
        <v>0</v>
      </c>
      <c r="I155" s="7"/>
      <c r="J155" s="7">
        <f>SUM(D155:H155)</f>
        <v>5446.67</v>
      </c>
      <c r="K155" s="1"/>
      <c r="L155" s="1"/>
    </row>
    <row r="156" spans="1:12">
      <c r="A156" s="1"/>
      <c r="B156" s="1"/>
      <c r="C156" s="1"/>
      <c r="D156" s="7"/>
      <c r="E156" s="7"/>
      <c r="F156" s="7"/>
      <c r="G156" s="7"/>
      <c r="H156" s="7"/>
      <c r="I156" s="7"/>
      <c r="J156" s="7"/>
      <c r="K156" s="1"/>
      <c r="L156" s="1"/>
    </row>
    <row r="157" spans="1:12">
      <c r="A157" s="1"/>
      <c r="B157" s="1"/>
      <c r="C157" s="1"/>
      <c r="D157" s="7"/>
      <c r="E157" s="7"/>
      <c r="F157" s="7"/>
      <c r="G157" s="7"/>
      <c r="H157" s="7"/>
      <c r="I157" s="7"/>
      <c r="J157" s="7"/>
      <c r="K157" s="1"/>
      <c r="L157" s="1"/>
    </row>
    <row r="158" spans="1:12">
      <c r="A158" s="1" t="s">
        <v>14</v>
      </c>
      <c r="B158" s="1"/>
      <c r="C158" s="1"/>
      <c r="D158" s="7"/>
      <c r="E158" s="7"/>
      <c r="F158" s="7"/>
      <c r="G158" s="7"/>
      <c r="H158" s="7"/>
      <c r="I158" s="7"/>
      <c r="J158" s="7"/>
      <c r="K158" s="1"/>
      <c r="L158" s="1"/>
    </row>
    <row r="159" spans="1:12">
      <c r="A159" s="1">
        <v>46</v>
      </c>
      <c r="B159" s="1" t="s">
        <v>40</v>
      </c>
      <c r="C159" s="1" t="s">
        <v>12</v>
      </c>
      <c r="D159" s="7">
        <v>4104.75</v>
      </c>
      <c r="E159" s="7">
        <v>503.42</v>
      </c>
      <c r="F159" s="7">
        <v>0</v>
      </c>
      <c r="G159" s="7">
        <v>0</v>
      </c>
      <c r="H159" s="7">
        <v>0</v>
      </c>
      <c r="I159" s="7"/>
      <c r="J159" s="7">
        <f>SUM(D159:H159)</f>
        <v>4608.17</v>
      </c>
      <c r="K159" s="1"/>
      <c r="L159" s="1"/>
    </row>
    <row r="160" spans="1:12">
      <c r="A160" s="1"/>
      <c r="B160" s="1"/>
      <c r="C160" s="1"/>
      <c r="D160" s="7"/>
      <c r="E160" s="7"/>
      <c r="F160" s="7"/>
      <c r="G160" s="7"/>
      <c r="H160" s="7"/>
      <c r="I160" s="7"/>
      <c r="J160" s="7">
        <f>SUM(D160:H160)</f>
        <v>0</v>
      </c>
      <c r="K160" s="1"/>
      <c r="L160" s="1"/>
    </row>
    <row r="161" spans="1:12">
      <c r="A161" s="1"/>
      <c r="B161" s="1"/>
      <c r="C161" s="1" t="s">
        <v>10</v>
      </c>
      <c r="D161" s="7">
        <f>SUM(D159:D160)</f>
        <v>4104.75</v>
      </c>
      <c r="E161" s="7">
        <f>SUM(E159:E160)</f>
        <v>503.42</v>
      </c>
      <c r="F161" s="7">
        <f>SUM(F159:F160)</f>
        <v>0</v>
      </c>
      <c r="G161" s="7">
        <f>SUM(G159:G160)</f>
        <v>0</v>
      </c>
      <c r="H161" s="7">
        <f>SUM(H159:H160)</f>
        <v>0</v>
      </c>
      <c r="I161" s="7"/>
      <c r="J161" s="7">
        <f>SUM(D161:H161)</f>
        <v>4608.17</v>
      </c>
      <c r="K161" s="1"/>
      <c r="L161" s="1"/>
    </row>
    <row r="162" spans="1:12">
      <c r="A162" s="1"/>
      <c r="B162" s="1"/>
      <c r="C162" s="1"/>
      <c r="D162" s="7"/>
      <c r="E162" s="7"/>
      <c r="F162" s="7"/>
      <c r="G162" s="7"/>
      <c r="H162" s="7"/>
      <c r="I162" s="7"/>
      <c r="J162" s="7"/>
      <c r="K162" s="1"/>
      <c r="L162" s="1"/>
    </row>
    <row r="163" spans="1:12">
      <c r="A163" s="1"/>
      <c r="B163" s="1"/>
      <c r="C163" s="1"/>
      <c r="D163" s="7"/>
      <c r="E163" s="7"/>
      <c r="F163" s="7"/>
      <c r="G163" s="7"/>
      <c r="H163" s="7"/>
      <c r="I163" s="7"/>
      <c r="J163" s="7"/>
      <c r="K163" s="1"/>
      <c r="L163" s="1"/>
    </row>
    <row r="164" spans="1:12">
      <c r="A164" s="1" t="s">
        <v>14</v>
      </c>
      <c r="B164" s="1"/>
      <c r="C164" s="1"/>
      <c r="D164" s="7"/>
      <c r="E164" s="7"/>
      <c r="F164" s="7"/>
      <c r="G164" s="7"/>
      <c r="H164" s="7"/>
      <c r="I164" s="7"/>
      <c r="J164" s="7"/>
      <c r="K164" s="1"/>
      <c r="L164" s="1"/>
    </row>
    <row r="165" spans="1:12">
      <c r="A165" s="1">
        <v>47</v>
      </c>
      <c r="B165" s="1" t="s">
        <v>41</v>
      </c>
      <c r="C165" s="1" t="s">
        <v>12</v>
      </c>
      <c r="D165" s="7">
        <v>5190.6099999999997</v>
      </c>
      <c r="E165" s="7">
        <v>416.3</v>
      </c>
      <c r="F165" s="7">
        <v>200.04</v>
      </c>
      <c r="G165" s="7">
        <v>83.21</v>
      </c>
      <c r="H165" s="7">
        <v>0</v>
      </c>
      <c r="I165" s="7"/>
      <c r="J165" s="7">
        <f>SUM(D165:H165)</f>
        <v>5890.16</v>
      </c>
      <c r="K165" s="1"/>
      <c r="L165" s="1"/>
    </row>
    <row r="166" spans="1:12">
      <c r="A166" s="1"/>
      <c r="B166" s="1"/>
      <c r="C166" s="1" t="s">
        <v>13</v>
      </c>
      <c r="D166" s="7"/>
      <c r="E166" s="7">
        <v>0</v>
      </c>
      <c r="F166" s="7">
        <v>0</v>
      </c>
      <c r="G166" s="7">
        <v>2.84</v>
      </c>
      <c r="H166" s="7">
        <v>0</v>
      </c>
      <c r="I166" s="7"/>
      <c r="J166" s="7">
        <f>SUM(D166:H166)</f>
        <v>2.84</v>
      </c>
      <c r="K166" s="1"/>
      <c r="L166" s="1"/>
    </row>
    <row r="167" spans="1:12">
      <c r="A167" s="1"/>
      <c r="B167" s="1"/>
      <c r="C167" s="1" t="s">
        <v>10</v>
      </c>
      <c r="D167" s="7">
        <f>SUM(D165:D166)</f>
        <v>5190.6099999999997</v>
      </c>
      <c r="E167" s="7">
        <f>SUM(E165:E166)</f>
        <v>416.3</v>
      </c>
      <c r="F167" s="7">
        <f>SUM(F165:F166)</f>
        <v>200.04</v>
      </c>
      <c r="G167" s="7">
        <f>SUM(G165:G166)</f>
        <v>86.05</v>
      </c>
      <c r="H167" s="7">
        <f>SUM(H165:H166)</f>
        <v>0</v>
      </c>
      <c r="I167" s="7"/>
      <c r="J167" s="7">
        <f>SUM(D167:H167)</f>
        <v>5893</v>
      </c>
      <c r="K167" s="1"/>
      <c r="L167" s="1"/>
    </row>
    <row r="168" spans="1:12">
      <c r="A168" s="1"/>
      <c r="B168" s="1"/>
      <c r="C168" s="1"/>
      <c r="D168" s="7"/>
      <c r="E168" s="7"/>
      <c r="F168" s="7"/>
      <c r="G168" s="7"/>
      <c r="H168" s="7"/>
      <c r="I168" s="7"/>
      <c r="J168" s="7"/>
      <c r="K168" s="1"/>
      <c r="L168" s="1"/>
    </row>
    <row r="169" spans="1:12">
      <c r="A169" s="1"/>
      <c r="B169" s="1"/>
      <c r="C169" s="1"/>
      <c r="D169" s="7"/>
      <c r="E169" s="7"/>
      <c r="F169" s="7"/>
      <c r="G169" s="7"/>
      <c r="H169" s="7"/>
      <c r="I169" s="7"/>
      <c r="J169" s="7"/>
      <c r="K169" s="1"/>
      <c r="L169" s="1"/>
    </row>
    <row r="170" spans="1:12">
      <c r="A170" s="1" t="s">
        <v>14</v>
      </c>
      <c r="B170" s="1"/>
      <c r="C170" s="1"/>
      <c r="D170" s="7"/>
      <c r="E170" s="7"/>
      <c r="F170" s="7"/>
      <c r="G170" s="7"/>
      <c r="H170" s="7"/>
      <c r="I170" s="7"/>
      <c r="J170" s="7"/>
      <c r="K170" s="1"/>
      <c r="L170" s="1"/>
    </row>
    <row r="171" spans="1:12">
      <c r="A171" s="1">
        <v>48</v>
      </c>
      <c r="B171" s="1" t="s">
        <v>42</v>
      </c>
      <c r="C171" s="1" t="s">
        <v>12</v>
      </c>
      <c r="D171" s="7">
        <v>5840.15</v>
      </c>
      <c r="E171" s="7">
        <v>260.41000000000003</v>
      </c>
      <c r="F171" s="7">
        <v>258.58999999999997</v>
      </c>
      <c r="G171" s="7">
        <v>191.84</v>
      </c>
      <c r="H171" s="7">
        <v>5.99</v>
      </c>
      <c r="I171" s="7"/>
      <c r="J171" s="7">
        <f>SUM(D171:H171)</f>
        <v>6556.98</v>
      </c>
      <c r="K171" s="1"/>
      <c r="L171" s="1"/>
    </row>
    <row r="172" spans="1:12">
      <c r="A172" s="1"/>
      <c r="B172" s="1"/>
      <c r="C172" s="1"/>
      <c r="D172" s="7"/>
      <c r="E172" s="7"/>
      <c r="F172" s="7"/>
      <c r="G172" s="7"/>
      <c r="H172" s="7"/>
      <c r="I172" s="7"/>
      <c r="J172" s="7">
        <f>SUM(D172:H172)</f>
        <v>0</v>
      </c>
      <c r="K172" s="1"/>
      <c r="L172" s="1"/>
    </row>
    <row r="173" spans="1:12">
      <c r="A173" s="1"/>
      <c r="B173" s="1"/>
      <c r="C173" s="1" t="s">
        <v>10</v>
      </c>
      <c r="D173" s="7">
        <f>SUM(D171:D172)</f>
        <v>5840.15</v>
      </c>
      <c r="E173" s="7">
        <f>SUM(E171:E172)</f>
        <v>260.41000000000003</v>
      </c>
      <c r="F173" s="7">
        <f>SUM(F171:F172)</f>
        <v>258.58999999999997</v>
      </c>
      <c r="G173" s="7">
        <f>SUM(G171:G172)</f>
        <v>191.84</v>
      </c>
      <c r="H173" s="7">
        <f>SUM(H171:H172)</f>
        <v>5.99</v>
      </c>
      <c r="I173" s="7"/>
      <c r="J173" s="7">
        <f>SUM(D173:H173)</f>
        <v>6556.98</v>
      </c>
      <c r="K173" s="1"/>
      <c r="L173" s="1"/>
    </row>
    <row r="174" spans="1:12">
      <c r="A174" s="1"/>
      <c r="B174" s="1"/>
      <c r="C174" s="1"/>
      <c r="D174" s="7"/>
      <c r="E174" s="7"/>
      <c r="F174" s="7"/>
      <c r="G174" s="7"/>
      <c r="H174" s="7"/>
      <c r="I174" s="7"/>
      <c r="J174" s="7"/>
      <c r="K174" s="1"/>
      <c r="L174" s="1"/>
    </row>
    <row r="175" spans="1:12">
      <c r="A175" s="1"/>
      <c r="B175" s="1"/>
      <c r="C175" s="1"/>
      <c r="D175" s="7"/>
      <c r="E175" s="7"/>
      <c r="F175" s="7"/>
      <c r="G175" s="7"/>
      <c r="H175" s="7"/>
      <c r="I175" s="7"/>
      <c r="J175" s="7"/>
      <c r="K175" s="1"/>
      <c r="L175" s="1"/>
    </row>
    <row r="176" spans="1:12">
      <c r="A176" s="1" t="s">
        <v>14</v>
      </c>
      <c r="B176" s="1"/>
      <c r="C176" s="1"/>
      <c r="D176" s="7"/>
      <c r="E176" s="7"/>
      <c r="F176" s="7"/>
      <c r="G176" s="7"/>
      <c r="H176" s="7"/>
      <c r="I176" s="7"/>
      <c r="J176" s="7"/>
      <c r="K176" s="1"/>
      <c r="L176" s="1"/>
    </row>
    <row r="177" spans="1:12">
      <c r="A177" s="1">
        <v>49</v>
      </c>
      <c r="B177" s="1" t="s">
        <v>43</v>
      </c>
      <c r="C177" s="1" t="s">
        <v>12</v>
      </c>
      <c r="D177" s="7">
        <v>10977.41</v>
      </c>
      <c r="E177" s="7">
        <v>368.31</v>
      </c>
      <c r="F177" s="7">
        <v>105.43</v>
      </c>
      <c r="G177" s="7">
        <v>103.39</v>
      </c>
      <c r="H177" s="7">
        <v>0</v>
      </c>
      <c r="I177" s="7"/>
      <c r="J177" s="7">
        <f>SUM(D177:H177)</f>
        <v>11554.539999999999</v>
      </c>
      <c r="K177" s="1"/>
      <c r="L177" s="1"/>
    </row>
    <row r="178" spans="1:12">
      <c r="A178" s="1"/>
      <c r="B178" s="1"/>
      <c r="C178" s="1"/>
      <c r="D178" s="7"/>
      <c r="E178" s="7"/>
      <c r="F178" s="7"/>
      <c r="G178" s="7"/>
      <c r="H178" s="7"/>
      <c r="I178" s="7"/>
      <c r="J178" s="7">
        <f>SUM(D178:H178)</f>
        <v>0</v>
      </c>
      <c r="K178" s="1"/>
      <c r="L178" s="1"/>
    </row>
    <row r="179" spans="1:12">
      <c r="A179" s="1"/>
      <c r="B179" s="1"/>
      <c r="C179" s="1" t="s">
        <v>10</v>
      </c>
      <c r="D179" s="7">
        <f>SUM(D177:D178)</f>
        <v>10977.41</v>
      </c>
      <c r="E179" s="7">
        <f>SUM(E177:E178)</f>
        <v>368.31</v>
      </c>
      <c r="F179" s="7">
        <f>SUM(F177:F178)</f>
        <v>105.43</v>
      </c>
      <c r="G179" s="7">
        <f>SUM(G177:G178)</f>
        <v>103.39</v>
      </c>
      <c r="H179" s="7">
        <f>SUM(H177:H178)</f>
        <v>0</v>
      </c>
      <c r="I179" s="7"/>
      <c r="J179" s="7">
        <f>SUM(D179:H179)</f>
        <v>11554.539999999999</v>
      </c>
      <c r="K179" s="1"/>
      <c r="L179" s="1"/>
    </row>
    <row r="180" spans="1:12">
      <c r="A180" s="1"/>
      <c r="B180" s="1"/>
      <c r="C180" s="1"/>
      <c r="D180" s="7"/>
      <c r="E180" s="7"/>
      <c r="F180" s="7"/>
      <c r="G180" s="7"/>
      <c r="H180" s="7"/>
      <c r="I180" s="7"/>
      <c r="J180" s="7"/>
      <c r="K180" s="1"/>
      <c r="L180" s="1"/>
    </row>
    <row r="181" spans="1:12">
      <c r="A181" s="1"/>
      <c r="B181" s="1"/>
      <c r="C181" s="1"/>
      <c r="D181" s="7"/>
      <c r="E181" s="7"/>
      <c r="F181" s="7"/>
      <c r="G181" s="7"/>
      <c r="H181" s="7"/>
      <c r="I181" s="7"/>
      <c r="J181" s="7"/>
      <c r="K181" s="1"/>
      <c r="L181" s="1"/>
    </row>
    <row r="182" spans="1:12">
      <c r="A182" s="1" t="s">
        <v>14</v>
      </c>
      <c r="B182" s="1"/>
      <c r="C182" s="1"/>
      <c r="D182" s="7"/>
      <c r="E182" s="7"/>
      <c r="F182" s="7"/>
      <c r="G182" s="7"/>
      <c r="H182" s="7"/>
      <c r="I182" s="7"/>
      <c r="J182" s="7"/>
      <c r="K182" s="1"/>
      <c r="L182" s="1"/>
    </row>
    <row r="183" spans="1:12">
      <c r="A183" s="1">
        <v>50</v>
      </c>
      <c r="B183" s="1" t="s">
        <v>44</v>
      </c>
      <c r="C183" s="1" t="s">
        <v>12</v>
      </c>
      <c r="D183" s="7">
        <v>3958.03</v>
      </c>
      <c r="E183" s="7">
        <v>94.74</v>
      </c>
      <c r="F183" s="7">
        <v>0</v>
      </c>
      <c r="G183" s="7">
        <v>0</v>
      </c>
      <c r="H183" s="7">
        <v>0</v>
      </c>
      <c r="I183" s="7"/>
      <c r="J183" s="7">
        <f>SUM(D183:H183)</f>
        <v>4052.77</v>
      </c>
      <c r="K183" s="1"/>
      <c r="L183" s="1"/>
    </row>
    <row r="184" spans="1:12">
      <c r="A184" s="1"/>
      <c r="B184" s="1"/>
      <c r="C184" s="1" t="s">
        <v>13</v>
      </c>
      <c r="D184" s="7">
        <v>98.5</v>
      </c>
      <c r="E184" s="7">
        <v>4.72</v>
      </c>
      <c r="F184" s="7">
        <v>0</v>
      </c>
      <c r="G184" s="7">
        <v>0</v>
      </c>
      <c r="H184" s="7">
        <v>0</v>
      </c>
      <c r="I184" s="7"/>
      <c r="J184" s="7">
        <f>SUM(D184:H184)</f>
        <v>103.22</v>
      </c>
      <c r="K184" s="1"/>
      <c r="L184" s="1"/>
    </row>
    <row r="185" spans="1:12">
      <c r="A185" s="1"/>
      <c r="B185" s="1"/>
      <c r="C185" s="1" t="s">
        <v>10</v>
      </c>
      <c r="D185" s="7">
        <f>SUM(D183:D184)</f>
        <v>4056.53</v>
      </c>
      <c r="E185" s="7">
        <f>SUM(E183:E184)</f>
        <v>99.46</v>
      </c>
      <c r="F185" s="7">
        <f>SUM(F183:F184)</f>
        <v>0</v>
      </c>
      <c r="G185" s="7">
        <f>SUM(G183:G184)</f>
        <v>0</v>
      </c>
      <c r="H185" s="7">
        <f>SUM(H183:H184)</f>
        <v>0</v>
      </c>
      <c r="I185" s="7"/>
      <c r="J185" s="7">
        <f>SUM(D185:H185)</f>
        <v>4155.99</v>
      </c>
      <c r="K185" s="1"/>
      <c r="L185" s="1"/>
    </row>
    <row r="186" spans="1:12">
      <c r="A186" s="1"/>
      <c r="B186" s="1"/>
      <c r="C186" s="1"/>
      <c r="D186" s="7"/>
      <c r="E186" s="7"/>
      <c r="F186" s="7"/>
      <c r="G186" s="7"/>
      <c r="H186" s="7"/>
      <c r="I186" s="7"/>
      <c r="J186" s="7"/>
      <c r="K186" s="1"/>
      <c r="L186" s="1"/>
    </row>
    <row r="187" spans="1:12">
      <c r="A187" s="1"/>
      <c r="B187" s="1"/>
      <c r="C187" s="1"/>
      <c r="D187" s="7"/>
      <c r="E187" s="7"/>
      <c r="F187" s="7"/>
      <c r="G187" s="7"/>
      <c r="H187" s="7"/>
      <c r="I187" s="7"/>
      <c r="J187" s="7"/>
      <c r="K187" s="1"/>
      <c r="L187" s="1"/>
    </row>
    <row r="188" spans="1:12">
      <c r="A188" s="1" t="s">
        <v>14</v>
      </c>
      <c r="B188" s="1"/>
      <c r="C188" s="1"/>
      <c r="D188" s="7"/>
      <c r="E188" s="7"/>
      <c r="F188" s="7"/>
      <c r="G188" s="7"/>
      <c r="H188" s="7"/>
      <c r="I188" s="7"/>
      <c r="J188" s="7"/>
      <c r="K188" s="1"/>
      <c r="L188" s="1"/>
    </row>
    <row r="189" spans="1:12">
      <c r="A189" s="1">
        <v>51</v>
      </c>
      <c r="B189" s="1" t="s">
        <v>45</v>
      </c>
      <c r="C189" s="1" t="s">
        <v>12</v>
      </c>
      <c r="D189" s="7">
        <v>11577.57</v>
      </c>
      <c r="E189" s="7">
        <v>64.25</v>
      </c>
      <c r="F189" s="7">
        <v>64.709999999999994</v>
      </c>
      <c r="G189" s="7">
        <v>63.01</v>
      </c>
      <c r="H189" s="7">
        <v>60.04</v>
      </c>
      <c r="I189" s="7"/>
      <c r="J189" s="7">
        <f>SUM(D189:H189)</f>
        <v>11829.58</v>
      </c>
      <c r="K189" s="1"/>
      <c r="L189" s="1"/>
    </row>
    <row r="190" spans="1:12">
      <c r="A190" s="1"/>
      <c r="B190" s="1"/>
      <c r="C190" s="1" t="s">
        <v>13</v>
      </c>
      <c r="D190" s="7">
        <v>777.52</v>
      </c>
      <c r="E190" s="7">
        <v>2.21</v>
      </c>
      <c r="F190" s="7">
        <v>4.1399999999999997</v>
      </c>
      <c r="G190" s="7">
        <v>3.1</v>
      </c>
      <c r="H190" s="7">
        <v>3.16</v>
      </c>
      <c r="I190" s="7"/>
      <c r="J190" s="7">
        <f>SUM(D190:H190)</f>
        <v>790.13</v>
      </c>
      <c r="K190" s="1"/>
      <c r="L190" s="1"/>
    </row>
    <row r="191" spans="1:12">
      <c r="A191" s="1"/>
      <c r="B191" s="1"/>
      <c r="C191" s="1" t="s">
        <v>46</v>
      </c>
      <c r="D191" s="7">
        <v>187.52</v>
      </c>
      <c r="E191" s="7">
        <v>1.17</v>
      </c>
      <c r="F191" s="7">
        <v>1.03</v>
      </c>
      <c r="G191" s="7">
        <v>1.0900000000000001</v>
      </c>
      <c r="H191" s="7">
        <v>1.1200000000000001</v>
      </c>
      <c r="I191" s="7"/>
      <c r="J191" s="7">
        <f>SUM(D191:H191)</f>
        <v>191.93</v>
      </c>
      <c r="K191" s="1"/>
      <c r="L191" s="1"/>
    </row>
    <row r="192" spans="1:12">
      <c r="A192" s="1"/>
      <c r="B192" s="1"/>
      <c r="C192" s="1" t="s">
        <v>10</v>
      </c>
      <c r="D192" s="7">
        <f>SUM(D189:D191)</f>
        <v>12542.61</v>
      </c>
      <c r="E192" s="7">
        <f>SUM(E189:E191)</f>
        <v>67.63</v>
      </c>
      <c r="F192" s="7">
        <f>SUM(F189:F191)</f>
        <v>69.88</v>
      </c>
      <c r="G192" s="7">
        <f>SUM(G189:G191)</f>
        <v>67.2</v>
      </c>
      <c r="H192" s="7">
        <f>SUM(H189:H191)</f>
        <v>64.320000000000007</v>
      </c>
      <c r="I192" s="7"/>
      <c r="J192" s="7">
        <f>SUM(D192:H192)</f>
        <v>12811.64</v>
      </c>
      <c r="K192" s="1"/>
      <c r="L192" s="1"/>
    </row>
    <row r="193" spans="1:12">
      <c r="A193" s="1"/>
      <c r="B193" s="1"/>
      <c r="C193" s="1"/>
      <c r="D193" s="7"/>
      <c r="E193" s="7"/>
      <c r="F193" s="7"/>
      <c r="G193" s="7"/>
      <c r="H193" s="7"/>
      <c r="I193" s="7"/>
      <c r="J193" s="7"/>
      <c r="K193" s="1"/>
      <c r="L193" s="1"/>
    </row>
    <row r="194" spans="1:12">
      <c r="A194" s="1"/>
      <c r="B194" s="1"/>
      <c r="C194" s="1"/>
      <c r="D194" s="7"/>
      <c r="E194" s="7"/>
      <c r="F194" s="7"/>
      <c r="G194" s="7"/>
      <c r="H194" s="7"/>
      <c r="I194" s="7"/>
      <c r="J194" s="7"/>
      <c r="K194" s="1"/>
      <c r="L194" s="1"/>
    </row>
    <row r="195" spans="1:12">
      <c r="A195" s="1" t="s">
        <v>14</v>
      </c>
      <c r="B195" s="1"/>
      <c r="C195" s="1"/>
      <c r="D195" s="7"/>
      <c r="E195" s="7"/>
      <c r="F195" s="7"/>
      <c r="G195" s="7"/>
      <c r="H195" s="7"/>
      <c r="I195" s="7"/>
      <c r="J195" s="7"/>
      <c r="K195" s="1"/>
      <c r="L195" s="1"/>
    </row>
    <row r="196" spans="1:12">
      <c r="A196" s="1">
        <v>52</v>
      </c>
      <c r="B196" s="1" t="s">
        <v>47</v>
      </c>
      <c r="C196" s="1" t="s">
        <v>12</v>
      </c>
      <c r="D196" s="7">
        <v>7487.94</v>
      </c>
      <c r="E196" s="7">
        <v>0.2</v>
      </c>
      <c r="F196" s="7">
        <v>0.59</v>
      </c>
      <c r="G196" s="7">
        <v>0.56999999999999995</v>
      </c>
      <c r="H196" s="7">
        <v>0.56999999999999995</v>
      </c>
      <c r="I196" s="7"/>
      <c r="J196" s="7">
        <f>SUM(D196:H196)</f>
        <v>7489.869999999999</v>
      </c>
      <c r="K196" s="1"/>
      <c r="L196" s="1"/>
    </row>
    <row r="197" spans="1:12">
      <c r="A197" s="1"/>
      <c r="B197" s="1"/>
      <c r="C197" s="1" t="s">
        <v>13</v>
      </c>
      <c r="D197" s="7">
        <v>822.14</v>
      </c>
      <c r="E197" s="7">
        <v>0.48</v>
      </c>
      <c r="F197" s="7">
        <v>0.08</v>
      </c>
      <c r="G197" s="7">
        <v>0.05</v>
      </c>
      <c r="H197" s="7">
        <v>0.05</v>
      </c>
      <c r="I197" s="7"/>
      <c r="J197" s="7">
        <f>SUM(D197:H197)</f>
        <v>822.8</v>
      </c>
      <c r="K197" s="1"/>
      <c r="L197" s="1"/>
    </row>
    <row r="198" spans="1:12">
      <c r="A198" s="1"/>
      <c r="B198" s="1"/>
      <c r="C198" s="1" t="s">
        <v>10</v>
      </c>
      <c r="D198" s="7">
        <f>SUM(D196:D197)</f>
        <v>8310.08</v>
      </c>
      <c r="E198" s="7">
        <f>SUM(E196:E197)</f>
        <v>0.67999999999999994</v>
      </c>
      <c r="F198" s="7">
        <f>SUM(F196:F197)</f>
        <v>0.66999999999999993</v>
      </c>
      <c r="G198" s="7">
        <f>SUM(G196:G197)</f>
        <v>0.62</v>
      </c>
      <c r="H198" s="7">
        <f>SUM(H196:H197)</f>
        <v>0.62</v>
      </c>
      <c r="I198" s="7"/>
      <c r="J198" s="7">
        <f>SUM(D198:H198)</f>
        <v>8312.6700000000019</v>
      </c>
      <c r="K198" s="1"/>
      <c r="L198" s="1"/>
    </row>
    <row r="199" spans="1:12">
      <c r="A199" s="1"/>
      <c r="B199" s="1"/>
      <c r="C199" s="1"/>
      <c r="D199" s="7"/>
      <c r="E199" s="7"/>
      <c r="F199" s="7"/>
      <c r="G199" s="7"/>
      <c r="H199" s="7"/>
      <c r="I199" s="7"/>
      <c r="J199" s="7"/>
      <c r="K199" s="1"/>
      <c r="L199" s="1"/>
    </row>
    <row r="200" spans="1:12">
      <c r="A200" s="1" t="s">
        <v>14</v>
      </c>
      <c r="B200" s="1"/>
      <c r="C200" s="1"/>
      <c r="D200" s="7"/>
      <c r="E200" s="7"/>
      <c r="F200" s="7"/>
      <c r="G200" s="7"/>
      <c r="H200" s="7"/>
      <c r="I200" s="7"/>
      <c r="J200" s="7"/>
      <c r="K200" s="1"/>
      <c r="L200" s="1"/>
    </row>
    <row r="201" spans="1:12">
      <c r="A201" s="1">
        <v>53</v>
      </c>
      <c r="B201" s="1" t="s">
        <v>48</v>
      </c>
      <c r="C201" s="1" t="s">
        <v>12</v>
      </c>
      <c r="D201" s="7">
        <v>10315.86</v>
      </c>
      <c r="E201" s="7">
        <v>140.18</v>
      </c>
      <c r="F201" s="7">
        <v>71.819999999999993</v>
      </c>
      <c r="G201" s="7">
        <v>66.27</v>
      </c>
      <c r="H201" s="7">
        <v>23.28</v>
      </c>
      <c r="I201" s="7"/>
      <c r="J201" s="7">
        <f>SUM(D201:H201)</f>
        <v>10617.410000000002</v>
      </c>
      <c r="K201" s="1"/>
      <c r="L201" s="1"/>
    </row>
    <row r="202" spans="1:12">
      <c r="A202" s="1"/>
      <c r="B202" s="1"/>
      <c r="C202" s="1" t="s">
        <v>35</v>
      </c>
      <c r="D202" s="7">
        <v>430.59</v>
      </c>
      <c r="E202" s="7">
        <v>5.72</v>
      </c>
      <c r="F202" s="7">
        <v>3.23</v>
      </c>
      <c r="G202" s="7">
        <v>3</v>
      </c>
      <c r="H202" s="7">
        <v>1.05</v>
      </c>
      <c r="I202" s="7"/>
      <c r="J202" s="7">
        <f>SUM(D202:H202)</f>
        <v>443.59000000000003</v>
      </c>
      <c r="K202" s="1"/>
      <c r="L202" s="1"/>
    </row>
    <row r="203" spans="1:12">
      <c r="A203" s="1"/>
      <c r="B203" s="1"/>
      <c r="C203" s="1" t="s">
        <v>10</v>
      </c>
      <c r="D203" s="7">
        <f>SUM(D201:D202)</f>
        <v>10746.45</v>
      </c>
      <c r="E203" s="7">
        <f>SUM(E201:E202)</f>
        <v>145.9</v>
      </c>
      <c r="F203" s="7">
        <f>SUM(F201:F202)</f>
        <v>75.05</v>
      </c>
      <c r="G203" s="7">
        <f>SUM(G201:G202)</f>
        <v>69.27</v>
      </c>
      <c r="H203" s="7">
        <f>SUM(H201:H202)</f>
        <v>24.330000000000002</v>
      </c>
      <c r="I203" s="7"/>
      <c r="J203" s="7">
        <f>SUM(D203:H203)</f>
        <v>11061</v>
      </c>
      <c r="K203" s="1"/>
      <c r="L203" s="1"/>
    </row>
    <row r="204" spans="1:12">
      <c r="A204" s="1"/>
      <c r="B204" s="1"/>
      <c r="C204" s="1"/>
      <c r="D204" s="7"/>
      <c r="E204" s="7"/>
      <c r="F204" s="7"/>
      <c r="G204" s="7"/>
      <c r="H204" s="7"/>
      <c r="I204" s="7"/>
      <c r="J204" s="7"/>
      <c r="K204" s="1"/>
      <c r="L204" s="1"/>
    </row>
    <row r="205" spans="1:12">
      <c r="A205" s="1" t="s">
        <v>14</v>
      </c>
      <c r="B205" s="1"/>
      <c r="C205" s="1"/>
      <c r="D205" s="7"/>
      <c r="E205" s="7"/>
      <c r="F205" s="7"/>
      <c r="G205" s="7"/>
      <c r="H205" s="7"/>
      <c r="I205" s="7"/>
      <c r="J205" s="7"/>
      <c r="K205" s="1"/>
      <c r="L205" s="1"/>
    </row>
    <row r="206" spans="1:12">
      <c r="A206" s="1">
        <v>54</v>
      </c>
      <c r="B206" s="1" t="s">
        <v>49</v>
      </c>
      <c r="C206" s="1" t="s">
        <v>12</v>
      </c>
      <c r="D206" s="7">
        <v>6473.84</v>
      </c>
      <c r="E206" s="7">
        <v>507.46</v>
      </c>
      <c r="F206" s="7">
        <v>121.19</v>
      </c>
      <c r="G206" s="7">
        <v>0</v>
      </c>
      <c r="H206" s="7">
        <v>0</v>
      </c>
      <c r="I206" s="7"/>
      <c r="J206" s="7">
        <f>SUM(D206:H206)</f>
        <v>7102.49</v>
      </c>
      <c r="K206" s="1"/>
      <c r="L206" s="1"/>
    </row>
    <row r="207" spans="1:12">
      <c r="A207" s="1"/>
      <c r="B207" s="1"/>
      <c r="C207" s="1"/>
      <c r="D207" s="7"/>
      <c r="E207" s="7"/>
      <c r="F207" s="7"/>
      <c r="G207" s="7"/>
      <c r="H207" s="7"/>
      <c r="I207" s="7"/>
      <c r="J207" s="7">
        <f>SUM(D207:H207)</f>
        <v>0</v>
      </c>
      <c r="K207" s="1"/>
      <c r="L207" s="1"/>
    </row>
    <row r="208" spans="1:12">
      <c r="A208" s="1"/>
      <c r="B208" s="1"/>
      <c r="C208" s="1" t="s">
        <v>10</v>
      </c>
      <c r="D208" s="7">
        <f>SUM(D206:D207)</f>
        <v>6473.84</v>
      </c>
      <c r="E208" s="7">
        <f>SUM(E206:E207)</f>
        <v>507.46</v>
      </c>
      <c r="F208" s="7">
        <f>SUM(F206:F207)</f>
        <v>121.19</v>
      </c>
      <c r="G208" s="7">
        <f>SUM(G206:G207)</f>
        <v>0</v>
      </c>
      <c r="H208" s="7">
        <f>SUM(H206:H207)</f>
        <v>0</v>
      </c>
      <c r="I208" s="7"/>
      <c r="J208" s="7">
        <f>SUM(D208:H208)</f>
        <v>7102.49</v>
      </c>
      <c r="K208" s="1"/>
      <c r="L208" s="1"/>
    </row>
    <row r="209" spans="1:12">
      <c r="A209" s="1"/>
      <c r="B209" s="1"/>
      <c r="C209" s="1"/>
      <c r="D209" s="7"/>
      <c r="E209" s="7"/>
      <c r="F209" s="7"/>
      <c r="G209" s="7"/>
      <c r="H209" s="7"/>
      <c r="I209" s="7"/>
      <c r="J209" s="7"/>
      <c r="K209" s="1"/>
      <c r="L209" s="1"/>
    </row>
    <row r="210" spans="1:12">
      <c r="A210" s="1"/>
      <c r="B210" s="1"/>
      <c r="C210" s="1"/>
      <c r="D210" s="7"/>
      <c r="E210" s="7"/>
      <c r="F210" s="7"/>
      <c r="G210" s="7"/>
      <c r="H210" s="7"/>
      <c r="I210" s="7"/>
      <c r="J210" s="7"/>
      <c r="K210" s="1"/>
      <c r="L210" s="1"/>
    </row>
    <row r="211" spans="1:12">
      <c r="A211" s="1" t="s">
        <v>14</v>
      </c>
      <c r="B211" s="1"/>
      <c r="C211" s="1"/>
      <c r="D211" s="7"/>
      <c r="E211" s="7"/>
      <c r="F211" s="7"/>
      <c r="G211" s="7"/>
      <c r="H211" s="7"/>
      <c r="I211" s="7"/>
      <c r="J211" s="7"/>
      <c r="K211" s="1"/>
      <c r="L211" s="1"/>
    </row>
    <row r="212" spans="1:12">
      <c r="A212" s="1">
        <v>55</v>
      </c>
      <c r="B212" s="1" t="s">
        <v>50</v>
      </c>
      <c r="C212" s="1" t="s">
        <v>12</v>
      </c>
      <c r="D212" s="7">
        <v>9104.57</v>
      </c>
      <c r="E212" s="7">
        <v>347.26</v>
      </c>
      <c r="F212" s="7">
        <v>117.48</v>
      </c>
      <c r="G212" s="7">
        <v>41.71</v>
      </c>
      <c r="H212" s="7">
        <v>4.75</v>
      </c>
      <c r="I212" s="7"/>
      <c r="J212" s="7">
        <f>SUM(D212:H212)</f>
        <v>9615.7699999999986</v>
      </c>
      <c r="K212" s="1"/>
      <c r="L212" s="1"/>
    </row>
    <row r="213" spans="1:12">
      <c r="A213" s="1"/>
      <c r="B213" s="1"/>
      <c r="C213" s="1" t="s">
        <v>13</v>
      </c>
      <c r="D213" s="7">
        <v>227.19</v>
      </c>
      <c r="E213" s="7">
        <v>8.52</v>
      </c>
      <c r="F213" s="7">
        <v>2.91</v>
      </c>
      <c r="G213" s="7">
        <v>0.72</v>
      </c>
      <c r="H213" s="7">
        <v>0.09</v>
      </c>
      <c r="I213" s="7"/>
      <c r="J213" s="7">
        <f>SUM(D213:H213)</f>
        <v>239.43</v>
      </c>
      <c r="K213" s="1"/>
      <c r="L213" s="1"/>
    </row>
    <row r="214" spans="1:12">
      <c r="A214" s="1"/>
      <c r="B214" s="1"/>
      <c r="C214" s="1" t="s">
        <v>10</v>
      </c>
      <c r="D214" s="7">
        <f>SUM(D212:D213)</f>
        <v>9331.76</v>
      </c>
      <c r="E214" s="7">
        <f>SUM(E212:E213)</f>
        <v>355.78</v>
      </c>
      <c r="F214" s="7">
        <f>SUM(F212:F213)</f>
        <v>120.39</v>
      </c>
      <c r="G214" s="7">
        <f>SUM(G212:G213)</f>
        <v>42.43</v>
      </c>
      <c r="H214" s="7">
        <f>SUM(H212:H213)</f>
        <v>4.84</v>
      </c>
      <c r="I214" s="7"/>
      <c r="J214" s="7">
        <f>SUM(D214:H214)</f>
        <v>9855.2000000000007</v>
      </c>
      <c r="K214" s="1"/>
      <c r="L214" s="1"/>
    </row>
    <row r="215" spans="1:12">
      <c r="A215" s="1"/>
      <c r="B215" s="1"/>
      <c r="C215" s="1"/>
      <c r="D215" s="7"/>
      <c r="E215" s="7"/>
      <c r="F215" s="7"/>
      <c r="G215" s="7"/>
      <c r="H215" s="7"/>
      <c r="I215" s="7"/>
      <c r="J215" s="7"/>
      <c r="K215" s="1"/>
      <c r="L215" s="1"/>
    </row>
    <row r="216" spans="1:12">
      <c r="A216" s="1" t="s">
        <v>14</v>
      </c>
      <c r="B216" s="1"/>
      <c r="C216" s="1"/>
      <c r="D216" s="7"/>
      <c r="E216" s="7"/>
      <c r="F216" s="7"/>
      <c r="G216" s="7"/>
      <c r="H216" s="7"/>
      <c r="I216" s="7"/>
      <c r="J216" s="7"/>
      <c r="K216" s="1"/>
      <c r="L216" s="1"/>
    </row>
    <row r="217" spans="1:12">
      <c r="A217" s="1">
        <v>56</v>
      </c>
      <c r="B217" s="1" t="s">
        <v>51</v>
      </c>
      <c r="C217" s="1" t="s">
        <v>12</v>
      </c>
      <c r="D217" s="7">
        <v>5185.3100000000004</v>
      </c>
      <c r="E217" s="7">
        <v>495.79</v>
      </c>
      <c r="F217" s="7">
        <v>124.95</v>
      </c>
      <c r="G217" s="7">
        <v>62.33</v>
      </c>
      <c r="H217" s="7">
        <v>62.17</v>
      </c>
      <c r="I217" s="7"/>
      <c r="J217" s="7">
        <f>SUM(D217:H217)</f>
        <v>5930.55</v>
      </c>
      <c r="K217" s="1"/>
      <c r="L217" s="1"/>
    </row>
    <row r="218" spans="1:12">
      <c r="A218" s="1"/>
      <c r="B218" s="1"/>
      <c r="C218" s="1" t="s">
        <v>13</v>
      </c>
      <c r="D218" s="7">
        <v>90.99</v>
      </c>
      <c r="E218" s="7">
        <v>9.16</v>
      </c>
      <c r="F218" s="7">
        <v>2.46</v>
      </c>
      <c r="G218" s="7">
        <v>1.23</v>
      </c>
      <c r="H218" s="7">
        <v>1.23</v>
      </c>
      <c r="I218" s="7"/>
      <c r="J218" s="7">
        <f>SUM(D218:H218)</f>
        <v>105.07</v>
      </c>
      <c r="K218" s="1"/>
      <c r="L218" s="1"/>
    </row>
    <row r="219" spans="1:12">
      <c r="A219" s="1"/>
      <c r="B219" s="1"/>
      <c r="C219" s="1" t="s">
        <v>10</v>
      </c>
      <c r="D219" s="7">
        <f>SUM(D217:D218)</f>
        <v>5276.3</v>
      </c>
      <c r="E219" s="7">
        <f>SUM(E217:E218)</f>
        <v>504.95000000000005</v>
      </c>
      <c r="F219" s="7">
        <f>SUM(F217:F218)</f>
        <v>127.41</v>
      </c>
      <c r="G219" s="7">
        <f>SUM(G217:G218)</f>
        <v>63.559999999999995</v>
      </c>
      <c r="H219" s="7">
        <f>SUM(H217:H218)</f>
        <v>63.4</v>
      </c>
      <c r="I219" s="7"/>
      <c r="J219" s="7">
        <f>SUM(D219:H219)</f>
        <v>6035.62</v>
      </c>
      <c r="K219" s="1"/>
      <c r="L219" s="1"/>
    </row>
    <row r="220" spans="1:12">
      <c r="A220" s="1"/>
      <c r="B220" s="1"/>
      <c r="C220" s="1"/>
      <c r="D220" s="7"/>
      <c r="E220" s="7"/>
      <c r="F220" s="7"/>
      <c r="G220" s="7"/>
      <c r="H220" s="7"/>
      <c r="I220" s="7"/>
      <c r="J220" s="7"/>
      <c r="K220" s="1"/>
      <c r="L220" s="1"/>
    </row>
    <row r="221" spans="1:12">
      <c r="A221" s="1"/>
      <c r="B221" s="1"/>
      <c r="C221" s="1"/>
      <c r="D221" s="7"/>
      <c r="E221" s="7"/>
      <c r="F221" s="7"/>
      <c r="G221" s="7"/>
      <c r="H221" s="7"/>
      <c r="I221" s="7"/>
      <c r="J221" s="7"/>
      <c r="K221" s="1"/>
      <c r="L221" s="1"/>
    </row>
    <row r="222" spans="1:12">
      <c r="A222" s="1" t="s">
        <v>14</v>
      </c>
      <c r="B222" s="1"/>
      <c r="C222" s="1"/>
      <c r="D222" s="7"/>
      <c r="E222" s="7"/>
      <c r="F222" s="7"/>
      <c r="G222" s="7"/>
      <c r="H222" s="7"/>
      <c r="I222" s="7"/>
      <c r="J222" s="7"/>
      <c r="K222" s="1"/>
      <c r="L222" s="1"/>
    </row>
    <row r="223" spans="1:12">
      <c r="A223" s="1">
        <v>57</v>
      </c>
      <c r="B223" s="1" t="s">
        <v>52</v>
      </c>
      <c r="C223" s="1" t="s">
        <v>12</v>
      </c>
      <c r="D223" s="7">
        <v>12562.86</v>
      </c>
      <c r="E223" s="7">
        <v>232.91</v>
      </c>
      <c r="F223" s="7">
        <v>125.64</v>
      </c>
      <c r="G223" s="7">
        <v>122.49</v>
      </c>
      <c r="H223" s="7">
        <v>117.9</v>
      </c>
      <c r="I223" s="7"/>
      <c r="J223" s="7">
        <f>SUM(D223:H223)</f>
        <v>13161.8</v>
      </c>
      <c r="K223" s="1"/>
      <c r="L223" s="1"/>
    </row>
    <row r="224" spans="1:12">
      <c r="A224" s="1"/>
      <c r="B224" s="1"/>
      <c r="C224" s="1" t="s">
        <v>13</v>
      </c>
      <c r="D224" s="7">
        <v>245</v>
      </c>
      <c r="E224" s="7">
        <v>4.07</v>
      </c>
      <c r="F224" s="7">
        <v>2.84</v>
      </c>
      <c r="G224" s="7">
        <v>1.5</v>
      </c>
      <c r="H224" s="7">
        <v>1.49</v>
      </c>
      <c r="I224" s="7"/>
      <c r="J224" s="7">
        <f>SUM(D224:H224)</f>
        <v>254.9</v>
      </c>
      <c r="K224" s="1"/>
      <c r="L224" s="1"/>
    </row>
    <row r="225" spans="1:12">
      <c r="A225" s="1"/>
      <c r="B225" s="1"/>
      <c r="C225" s="1" t="s">
        <v>10</v>
      </c>
      <c r="D225" s="7">
        <f>SUM(D223:D224)</f>
        <v>12807.86</v>
      </c>
      <c r="E225" s="7">
        <f>SUM(E223:E224)</f>
        <v>236.98</v>
      </c>
      <c r="F225" s="7">
        <f>SUM(F223:F224)</f>
        <v>128.47999999999999</v>
      </c>
      <c r="G225" s="7">
        <f>SUM(G223:G224)</f>
        <v>123.99</v>
      </c>
      <c r="H225" s="7">
        <f>SUM(H223:H224)</f>
        <v>119.39</v>
      </c>
      <c r="I225" s="7"/>
      <c r="J225" s="7">
        <f>SUM(D225:H225)</f>
        <v>13416.699999999999</v>
      </c>
      <c r="K225" s="1"/>
      <c r="L225" s="1"/>
    </row>
    <row r="226" spans="1:12">
      <c r="A226" s="1"/>
      <c r="B226" s="1"/>
      <c r="C226" s="1"/>
      <c r="D226" s="7"/>
      <c r="E226" s="7"/>
      <c r="F226" s="7"/>
      <c r="G226" s="7"/>
      <c r="H226" s="7"/>
      <c r="I226" s="7"/>
      <c r="J226" s="7"/>
      <c r="K226" s="1"/>
      <c r="L226" s="1"/>
    </row>
    <row r="227" spans="1:12">
      <c r="A227" s="1" t="s">
        <v>14</v>
      </c>
      <c r="B227" s="1"/>
      <c r="C227" s="1"/>
      <c r="D227" s="7"/>
      <c r="E227" s="7"/>
      <c r="F227" s="7"/>
      <c r="G227" s="7"/>
      <c r="H227" s="7"/>
      <c r="I227" s="7"/>
      <c r="J227" s="7"/>
      <c r="K227" s="1"/>
      <c r="L227" s="1"/>
    </row>
    <row r="228" spans="1:12">
      <c r="A228" s="1">
        <v>58</v>
      </c>
      <c r="B228" s="1" t="s">
        <v>53</v>
      </c>
      <c r="C228" s="1" t="s">
        <v>12</v>
      </c>
      <c r="D228" s="7">
        <v>9129.44</v>
      </c>
      <c r="E228" s="7">
        <v>188.84</v>
      </c>
      <c r="F228" s="7">
        <v>71.349999999999994</v>
      </c>
      <c r="G228" s="7">
        <v>0</v>
      </c>
      <c r="H228" s="7">
        <v>0</v>
      </c>
      <c r="I228" s="7"/>
      <c r="J228" s="7">
        <f>SUM(D228:H228)</f>
        <v>9389.630000000001</v>
      </c>
      <c r="K228" s="1"/>
      <c r="L228" s="1"/>
    </row>
    <row r="229" spans="1:12">
      <c r="A229" s="1"/>
      <c r="B229" s="1"/>
      <c r="C229" s="1" t="s">
        <v>13</v>
      </c>
      <c r="D229" s="7">
        <v>197.3</v>
      </c>
      <c r="E229" s="7">
        <v>2.57</v>
      </c>
      <c r="F229" s="7">
        <v>0</v>
      </c>
      <c r="G229" s="7"/>
      <c r="H229" s="7"/>
      <c r="I229" s="7"/>
      <c r="J229" s="7">
        <f>SUM(D229:H229)</f>
        <v>199.87</v>
      </c>
      <c r="K229" s="1"/>
      <c r="L229" s="1"/>
    </row>
    <row r="230" spans="1:12">
      <c r="A230" s="1"/>
      <c r="B230" s="1"/>
      <c r="C230" s="1" t="s">
        <v>10</v>
      </c>
      <c r="D230" s="7">
        <f>SUM(D228:D229)</f>
        <v>9326.74</v>
      </c>
      <c r="E230" s="7">
        <f>SUM(E228:E229)</f>
        <v>191.41</v>
      </c>
      <c r="F230" s="7">
        <f>SUM(F228:F229)</f>
        <v>71.349999999999994</v>
      </c>
      <c r="G230" s="7">
        <f>SUM(G228:G229)</f>
        <v>0</v>
      </c>
      <c r="H230" s="7">
        <f>SUM(H228:H229)</f>
        <v>0</v>
      </c>
      <c r="I230" s="7"/>
      <c r="J230" s="7">
        <f>SUM(D230:H230)</f>
        <v>9589.5</v>
      </c>
      <c r="K230" s="1"/>
      <c r="L230" s="1"/>
    </row>
    <row r="231" spans="1:12">
      <c r="A231" s="1"/>
      <c r="B231" s="1"/>
      <c r="C231" s="1"/>
      <c r="D231" s="7"/>
      <c r="E231" s="7"/>
      <c r="F231" s="7"/>
      <c r="G231" s="7"/>
      <c r="H231" s="7"/>
      <c r="I231" s="7"/>
      <c r="J231" s="7"/>
      <c r="K231" s="1"/>
      <c r="L231" s="1"/>
    </row>
    <row r="232" spans="1:12">
      <c r="A232" s="1" t="s">
        <v>14</v>
      </c>
      <c r="B232" s="1"/>
      <c r="C232" s="1"/>
      <c r="D232" s="7"/>
      <c r="E232" s="7"/>
      <c r="F232" s="7"/>
      <c r="G232" s="7"/>
      <c r="H232" s="7"/>
      <c r="I232" s="7"/>
      <c r="J232" s="7"/>
      <c r="K232" s="1"/>
      <c r="L232" s="1"/>
    </row>
    <row r="233" spans="1:12">
      <c r="A233" s="1">
        <v>59</v>
      </c>
      <c r="B233" s="1" t="s">
        <v>54</v>
      </c>
      <c r="C233" s="1" t="s">
        <v>12</v>
      </c>
      <c r="D233" s="7">
        <v>8312.32</v>
      </c>
      <c r="E233" s="7">
        <v>298.76</v>
      </c>
      <c r="F233" s="7">
        <v>86.42</v>
      </c>
      <c r="G233" s="7">
        <v>39.799999999999997</v>
      </c>
      <c r="H233" s="7">
        <v>0</v>
      </c>
      <c r="I233" s="7"/>
      <c r="J233" s="7">
        <f>SUM(D233:H233)</f>
        <v>8737.2999999999993</v>
      </c>
      <c r="K233" s="1"/>
      <c r="L233" s="1"/>
    </row>
    <row r="234" spans="1:12">
      <c r="A234" s="1"/>
      <c r="B234" s="1"/>
      <c r="C234" s="1" t="s">
        <v>35</v>
      </c>
      <c r="D234" s="7">
        <v>465.61</v>
      </c>
      <c r="E234" s="7">
        <v>19.190000000000001</v>
      </c>
      <c r="F234" s="7">
        <v>5.15</v>
      </c>
      <c r="G234" s="7">
        <v>2.2799999999999998</v>
      </c>
      <c r="H234" s="7">
        <v>0</v>
      </c>
      <c r="I234" s="7"/>
      <c r="J234" s="7">
        <f>SUM(D234:H234)</f>
        <v>492.22999999999996</v>
      </c>
      <c r="K234" s="1"/>
      <c r="L234" s="1"/>
    </row>
    <row r="235" spans="1:12">
      <c r="A235" s="1"/>
      <c r="B235" s="1"/>
      <c r="C235" s="1" t="s">
        <v>10</v>
      </c>
      <c r="D235" s="7">
        <f>SUM(D233:D234)</f>
        <v>8777.93</v>
      </c>
      <c r="E235" s="7">
        <f>SUM(E233:E234)</f>
        <v>317.95</v>
      </c>
      <c r="F235" s="7">
        <f>SUM(F233:F234)</f>
        <v>91.570000000000007</v>
      </c>
      <c r="G235" s="7">
        <f>SUM(G233:G234)</f>
        <v>42.08</v>
      </c>
      <c r="H235" s="7">
        <f>SUM(H233:H234)</f>
        <v>0</v>
      </c>
      <c r="I235" s="7"/>
      <c r="J235" s="7">
        <f>SUM(D235:H235)</f>
        <v>9229.5300000000007</v>
      </c>
      <c r="K235" s="1"/>
      <c r="L235" s="1"/>
    </row>
    <row r="236" spans="1:12">
      <c r="A236" s="1"/>
      <c r="B236" s="1"/>
      <c r="C236" s="1"/>
      <c r="D236" s="7"/>
      <c r="E236" s="7"/>
      <c r="F236" s="7"/>
      <c r="G236" s="7"/>
      <c r="H236" s="7"/>
      <c r="I236" s="7"/>
      <c r="J236" s="7"/>
      <c r="K236" s="1"/>
      <c r="L236" s="1"/>
    </row>
    <row r="237" spans="1:12">
      <c r="A237" s="1" t="s">
        <v>14</v>
      </c>
      <c r="B237" s="1"/>
      <c r="C237" s="1"/>
      <c r="D237" s="7"/>
      <c r="E237" s="7"/>
      <c r="F237" s="7"/>
      <c r="G237" s="7"/>
      <c r="H237" s="7"/>
      <c r="I237" s="7"/>
      <c r="J237" s="7"/>
      <c r="K237" s="1"/>
      <c r="L237" s="1"/>
    </row>
    <row r="238" spans="1:12">
      <c r="A238" s="1">
        <v>60</v>
      </c>
      <c r="B238" s="1" t="s">
        <v>55</v>
      </c>
      <c r="C238" s="1" t="s">
        <v>12</v>
      </c>
      <c r="D238" s="7">
        <v>21276.39</v>
      </c>
      <c r="E238" s="7">
        <v>468.73</v>
      </c>
      <c r="F238" s="7">
        <v>325.37</v>
      </c>
      <c r="G238" s="7">
        <v>328.79</v>
      </c>
      <c r="H238" s="7">
        <v>183.57</v>
      </c>
      <c r="I238" s="7"/>
      <c r="J238" s="7">
        <f>SUM(D238:H238)</f>
        <v>22582.85</v>
      </c>
      <c r="K238" s="1"/>
      <c r="L238" s="1"/>
    </row>
    <row r="239" spans="1:12">
      <c r="A239" s="1"/>
      <c r="B239" s="1"/>
      <c r="C239" s="1"/>
      <c r="D239" s="7"/>
      <c r="E239" s="7"/>
      <c r="F239" s="7"/>
      <c r="G239" s="7"/>
      <c r="H239" s="7"/>
      <c r="I239" s="7"/>
      <c r="J239" s="7">
        <f>SUM(D239:H239)</f>
        <v>0</v>
      </c>
      <c r="K239" s="1"/>
      <c r="L239" s="1"/>
    </row>
    <row r="240" spans="1:12">
      <c r="A240" s="1"/>
      <c r="B240" s="1"/>
      <c r="C240" s="1" t="s">
        <v>10</v>
      </c>
      <c r="D240" s="7">
        <f>SUM(D238:D239)</f>
        <v>21276.39</v>
      </c>
      <c r="E240" s="7">
        <f>SUM(E238:E239)</f>
        <v>468.73</v>
      </c>
      <c r="F240" s="7">
        <f>SUM(F238:F239)</f>
        <v>325.37</v>
      </c>
      <c r="G240" s="7">
        <f>SUM(G238:G239)</f>
        <v>328.79</v>
      </c>
      <c r="H240" s="7">
        <f>SUM(H238:H239)</f>
        <v>183.57</v>
      </c>
      <c r="I240" s="7"/>
      <c r="J240" s="7">
        <f>SUM(D240:H240)</f>
        <v>22582.85</v>
      </c>
      <c r="K240" s="1"/>
      <c r="L240" s="1"/>
    </row>
    <row r="241" spans="1:12">
      <c r="A241" s="1"/>
      <c r="B241" s="1"/>
      <c r="C241" s="1"/>
      <c r="D241" s="7"/>
      <c r="E241" s="7"/>
      <c r="F241" s="7"/>
      <c r="G241" s="7"/>
      <c r="H241" s="7"/>
      <c r="I241" s="7"/>
      <c r="J241" s="7"/>
      <c r="K241" s="1"/>
      <c r="L241" s="1"/>
    </row>
    <row r="242" spans="1:12">
      <c r="A242" s="1"/>
      <c r="B242" s="1"/>
      <c r="C242" s="1"/>
      <c r="D242" s="7"/>
      <c r="E242" s="7"/>
      <c r="F242" s="7"/>
      <c r="G242" s="7"/>
      <c r="H242" s="7"/>
      <c r="I242" s="7"/>
      <c r="J242" s="7"/>
      <c r="K242" s="1"/>
      <c r="L242" s="1"/>
    </row>
    <row r="243" spans="1:12">
      <c r="A243" s="1" t="s">
        <v>14</v>
      </c>
      <c r="B243" s="1"/>
      <c r="C243" s="1"/>
      <c r="D243" s="7"/>
      <c r="E243" s="7"/>
      <c r="F243" s="7"/>
      <c r="G243" s="7"/>
      <c r="H243" s="7"/>
      <c r="I243" s="7"/>
      <c r="J243" s="7"/>
      <c r="K243" s="1"/>
      <c r="L243" s="1"/>
    </row>
    <row r="244" spans="1:12">
      <c r="A244" s="1">
        <v>61</v>
      </c>
      <c r="B244" s="1" t="s">
        <v>56</v>
      </c>
      <c r="C244" s="1" t="s">
        <v>12</v>
      </c>
      <c r="D244" s="7">
        <v>6805.68</v>
      </c>
      <c r="E244" s="7">
        <v>131.59</v>
      </c>
      <c r="F244" s="7">
        <v>139.18</v>
      </c>
      <c r="G244" s="7">
        <v>53.42</v>
      </c>
      <c r="H244" s="7">
        <v>0</v>
      </c>
      <c r="I244" s="7"/>
      <c r="J244" s="7">
        <f>SUM(D244:H244)</f>
        <v>7129.8700000000008</v>
      </c>
      <c r="K244" s="1"/>
      <c r="L244" s="1"/>
    </row>
    <row r="245" spans="1:12">
      <c r="A245" s="1"/>
      <c r="B245" s="1"/>
      <c r="C245" s="1" t="s">
        <v>13</v>
      </c>
      <c r="D245" s="7">
        <v>108.52</v>
      </c>
      <c r="E245" s="7">
        <v>2.0099999999999998</v>
      </c>
      <c r="F245" s="7">
        <v>2.29</v>
      </c>
      <c r="G245" s="7">
        <v>0.94</v>
      </c>
      <c r="H245" s="7" t="s">
        <v>70</v>
      </c>
      <c r="I245" s="7"/>
      <c r="J245" s="7">
        <f>SUM(D245:H245)</f>
        <v>113.76</v>
      </c>
      <c r="K245" s="1"/>
      <c r="L245" s="1"/>
    </row>
    <row r="246" spans="1:12">
      <c r="A246" s="1"/>
      <c r="B246" s="1"/>
      <c r="C246" s="1" t="s">
        <v>10</v>
      </c>
      <c r="D246" s="7">
        <f>SUM(D244:D245)</f>
        <v>6914.2000000000007</v>
      </c>
      <c r="E246" s="7">
        <f>SUM(E244:E245)</f>
        <v>133.6</v>
      </c>
      <c r="F246" s="7">
        <f>SUM(F244:F245)</f>
        <v>141.47</v>
      </c>
      <c r="G246" s="7">
        <f>SUM(G244:G245)</f>
        <v>54.36</v>
      </c>
      <c r="H246" s="7">
        <f>SUM(H244:H245)</f>
        <v>0</v>
      </c>
      <c r="I246" s="7"/>
      <c r="J246" s="7">
        <f>SUM(D246:H246)</f>
        <v>7243.630000000001</v>
      </c>
      <c r="K246" s="1"/>
      <c r="L246" s="1"/>
    </row>
    <row r="247" spans="1:12">
      <c r="A247" s="1"/>
      <c r="B247" s="1"/>
      <c r="C247" s="1"/>
      <c r="D247" s="7"/>
      <c r="E247" s="7"/>
      <c r="F247" s="7"/>
      <c r="G247" s="7"/>
      <c r="H247" s="7"/>
      <c r="I247" s="7"/>
      <c r="J247" s="7"/>
      <c r="K247" s="1"/>
      <c r="L247" s="1"/>
    </row>
    <row r="248" spans="1:12">
      <c r="A248" s="1"/>
      <c r="B248" s="1"/>
      <c r="C248" s="1"/>
      <c r="D248" s="7"/>
      <c r="E248" s="7"/>
      <c r="F248" s="7"/>
      <c r="G248" s="7"/>
      <c r="H248" s="7"/>
      <c r="I248" s="7"/>
      <c r="J248" s="7"/>
      <c r="K248" s="1"/>
      <c r="L248" s="1"/>
    </row>
    <row r="249" spans="1:12">
      <c r="A249" s="1" t="s">
        <v>14</v>
      </c>
      <c r="B249" s="1"/>
      <c r="C249" s="1"/>
      <c r="D249" s="7"/>
      <c r="E249" s="7"/>
      <c r="F249" s="7"/>
      <c r="G249" s="7"/>
      <c r="H249" s="7"/>
      <c r="I249" s="7"/>
      <c r="J249" s="7"/>
      <c r="K249" s="1"/>
      <c r="L249" s="1"/>
    </row>
    <row r="250" spans="1:12">
      <c r="A250" s="1">
        <v>62</v>
      </c>
      <c r="B250" s="1" t="s">
        <v>57</v>
      </c>
      <c r="C250" s="1" t="s">
        <v>12</v>
      </c>
      <c r="D250" s="7">
        <v>4397.78</v>
      </c>
      <c r="E250" s="7">
        <v>212.38</v>
      </c>
      <c r="F250" s="7">
        <v>0</v>
      </c>
      <c r="G250" s="7">
        <v>0</v>
      </c>
      <c r="H250" s="7">
        <v>0</v>
      </c>
      <c r="I250" s="7"/>
      <c r="J250" s="7">
        <f>SUM(D250:H250)</f>
        <v>4610.16</v>
      </c>
      <c r="K250" s="1"/>
      <c r="L250" s="1"/>
    </row>
    <row r="251" spans="1:12">
      <c r="A251" s="1"/>
      <c r="B251" s="1"/>
      <c r="C251" s="1" t="s">
        <v>13</v>
      </c>
      <c r="D251" s="7">
        <v>99.3</v>
      </c>
      <c r="E251" s="7">
        <v>4.93</v>
      </c>
      <c r="F251" s="7">
        <v>0</v>
      </c>
      <c r="G251" s="7">
        <v>0</v>
      </c>
      <c r="H251" s="7">
        <v>0</v>
      </c>
      <c r="I251" s="7"/>
      <c r="J251" s="7">
        <f>SUM(D251:H251)</f>
        <v>104.22999999999999</v>
      </c>
      <c r="K251" s="1"/>
      <c r="L251" s="1"/>
    </row>
    <row r="252" spans="1:12">
      <c r="A252" s="1"/>
      <c r="B252" s="1"/>
      <c r="C252" s="1" t="s">
        <v>10</v>
      </c>
      <c r="D252" s="7">
        <f>SUM(D250:D251)</f>
        <v>4497.08</v>
      </c>
      <c r="E252" s="7">
        <f>SUM(E250:E251)</f>
        <v>217.31</v>
      </c>
      <c r="F252" s="7">
        <f>SUM(F250:F251)</f>
        <v>0</v>
      </c>
      <c r="G252" s="7">
        <f>SUM(G250:G251)</f>
        <v>0</v>
      </c>
      <c r="H252" s="7">
        <f>SUM(H250:H251)</f>
        <v>0</v>
      </c>
      <c r="I252" s="7"/>
      <c r="J252" s="7">
        <f>SUM(D252:H252)</f>
        <v>4714.3900000000003</v>
      </c>
      <c r="K252" s="1"/>
      <c r="L252" s="1"/>
    </row>
    <row r="253" spans="1:12">
      <c r="A253" s="1"/>
      <c r="B253" s="1"/>
      <c r="C253" s="1"/>
      <c r="D253" s="7"/>
      <c r="E253" s="7"/>
      <c r="F253" s="7"/>
      <c r="G253" s="7"/>
      <c r="H253" s="7"/>
      <c r="I253" s="7"/>
      <c r="J253" s="7"/>
      <c r="K253" s="1"/>
      <c r="L253" s="1"/>
    </row>
    <row r="254" spans="1:12">
      <c r="A254" s="1"/>
      <c r="B254" s="1"/>
      <c r="C254" s="1"/>
      <c r="D254" s="7"/>
      <c r="E254" s="7"/>
      <c r="F254" s="7"/>
      <c r="G254" s="7"/>
      <c r="H254" s="7"/>
      <c r="I254" s="7"/>
      <c r="J254" s="7"/>
      <c r="K254" s="1"/>
      <c r="L254" s="1"/>
    </row>
    <row r="255" spans="1:12">
      <c r="A255" s="1" t="s">
        <v>14</v>
      </c>
      <c r="B255" s="1"/>
      <c r="C255" s="1"/>
      <c r="D255" s="7"/>
      <c r="E255" s="7"/>
      <c r="F255" s="7"/>
      <c r="G255" s="7"/>
      <c r="H255" s="7"/>
      <c r="I255" s="7"/>
      <c r="J255" s="7"/>
      <c r="K255" s="1"/>
      <c r="L255" s="1"/>
    </row>
    <row r="256" spans="1:12">
      <c r="A256" s="1">
        <v>63</v>
      </c>
      <c r="B256" s="1" t="s">
        <v>58</v>
      </c>
      <c r="C256" s="1" t="s">
        <v>12</v>
      </c>
      <c r="D256" s="7">
        <v>7028.65</v>
      </c>
      <c r="E256" s="7">
        <v>842.69</v>
      </c>
      <c r="F256" s="7">
        <v>579.41999999999996</v>
      </c>
      <c r="G256" s="7">
        <v>16.25</v>
      </c>
      <c r="H256" s="7">
        <v>15.86</v>
      </c>
      <c r="I256" s="7"/>
      <c r="J256" s="7">
        <f>SUM(D256:H256)</f>
        <v>8482.8700000000008</v>
      </c>
      <c r="K256" s="1"/>
      <c r="L256" s="1"/>
    </row>
    <row r="257" spans="1:12">
      <c r="A257" s="1"/>
      <c r="B257" s="1"/>
      <c r="C257" s="1" t="s">
        <v>13</v>
      </c>
      <c r="D257" s="7">
        <v>317.89999999999998</v>
      </c>
      <c r="E257" s="7">
        <v>38.159999999999997</v>
      </c>
      <c r="F257" s="7">
        <v>55.86</v>
      </c>
      <c r="G257" s="7">
        <v>1.69</v>
      </c>
      <c r="H257" s="7">
        <v>1.64</v>
      </c>
      <c r="I257" s="7"/>
      <c r="J257" s="7">
        <f>SUM(D257:H257)</f>
        <v>415.24999999999994</v>
      </c>
      <c r="K257" s="1"/>
      <c r="L257" s="1"/>
    </row>
    <row r="258" spans="1:12">
      <c r="A258" s="1"/>
      <c r="B258" s="1"/>
      <c r="C258" s="1" t="s">
        <v>10</v>
      </c>
      <c r="D258" s="7">
        <f>SUM(D256:D257)</f>
        <v>7346.5499999999993</v>
      </c>
      <c r="E258" s="7">
        <f>SUM(E256:E257)</f>
        <v>880.85</v>
      </c>
      <c r="F258" s="7">
        <f>SUM(F256:F257)</f>
        <v>635.28</v>
      </c>
      <c r="G258" s="7">
        <f>SUM(G256:G257)</f>
        <v>17.940000000000001</v>
      </c>
      <c r="H258" s="7">
        <f>SUM(H256:H257)</f>
        <v>17.5</v>
      </c>
      <c r="I258" s="7"/>
      <c r="J258" s="7">
        <f>SUM(D258:H258)</f>
        <v>8898.1200000000008</v>
      </c>
      <c r="K258" s="1"/>
      <c r="L258" s="1"/>
    </row>
    <row r="259" spans="1:12">
      <c r="A259" s="1"/>
      <c r="B259" s="1"/>
      <c r="C259" s="1"/>
      <c r="D259" s="7"/>
      <c r="E259" s="7"/>
      <c r="F259" s="7"/>
      <c r="G259" s="7"/>
      <c r="H259" s="7"/>
      <c r="I259" s="7"/>
      <c r="J259" s="7"/>
      <c r="K259" s="1"/>
      <c r="L259" s="1"/>
    </row>
    <row r="260" spans="1:12">
      <c r="A260" s="1"/>
      <c r="B260" s="1"/>
      <c r="C260" s="1"/>
      <c r="D260" s="7"/>
      <c r="E260" s="7"/>
      <c r="F260" s="7"/>
      <c r="G260" s="7"/>
      <c r="H260" s="7"/>
      <c r="I260" s="7"/>
      <c r="J260" s="7"/>
      <c r="K260" s="1"/>
      <c r="L260" s="1"/>
    </row>
    <row r="261" spans="1:12">
      <c r="A261" s="1" t="s">
        <v>14</v>
      </c>
      <c r="B261" s="1"/>
      <c r="C261" s="1"/>
      <c r="D261" s="7"/>
      <c r="E261" s="7"/>
      <c r="F261" s="7"/>
      <c r="G261" s="7"/>
      <c r="H261" s="7"/>
      <c r="I261" s="7"/>
      <c r="J261" s="7"/>
      <c r="K261" s="1"/>
      <c r="L261" s="1"/>
    </row>
    <row r="262" spans="1:12">
      <c r="A262" s="1">
        <v>64</v>
      </c>
      <c r="B262" s="1" t="s">
        <v>59</v>
      </c>
      <c r="C262" s="1" t="s">
        <v>12</v>
      </c>
      <c r="D262" s="7">
        <v>26088.28</v>
      </c>
      <c r="E262" s="7">
        <v>629.99</v>
      </c>
      <c r="F262" s="7">
        <v>438.92</v>
      </c>
      <c r="G262" s="7">
        <v>126.07</v>
      </c>
      <c r="H262" s="7">
        <v>27.61</v>
      </c>
      <c r="I262" s="7"/>
      <c r="J262" s="7">
        <f>SUM(D262:H262)</f>
        <v>27310.87</v>
      </c>
      <c r="K262" s="1"/>
      <c r="L262" s="1"/>
    </row>
    <row r="263" spans="1:12">
      <c r="A263" s="1"/>
      <c r="B263" s="1"/>
      <c r="C263" s="1"/>
      <c r="D263" s="7"/>
      <c r="E263" s="7"/>
      <c r="F263" s="7"/>
      <c r="G263" s="7"/>
      <c r="H263" s="7"/>
      <c r="I263" s="7"/>
      <c r="J263" s="7">
        <f>SUM(D263:H263)</f>
        <v>0</v>
      </c>
      <c r="K263" s="1"/>
      <c r="L263" s="1"/>
    </row>
    <row r="264" spans="1:12">
      <c r="A264" s="1"/>
      <c r="B264" s="1"/>
      <c r="C264" s="1" t="s">
        <v>10</v>
      </c>
      <c r="D264" s="7">
        <f>SUM(D262:D263)</f>
        <v>26088.28</v>
      </c>
      <c r="E264" s="7">
        <f>SUM(E262:E263)</f>
        <v>629.99</v>
      </c>
      <c r="F264" s="7">
        <f>SUM(F262:F263)</f>
        <v>438.92</v>
      </c>
      <c r="G264" s="7">
        <f>SUM(G262:G263)</f>
        <v>126.07</v>
      </c>
      <c r="H264" s="7">
        <f>SUM(H262:H263)</f>
        <v>27.61</v>
      </c>
      <c r="I264" s="7"/>
      <c r="J264" s="7">
        <f>SUM(D264:H264)</f>
        <v>27310.87</v>
      </c>
      <c r="K264" s="1"/>
      <c r="L264" s="1"/>
    </row>
    <row r="265" spans="1:12">
      <c r="A265" s="1"/>
      <c r="B265" s="1"/>
      <c r="C265" s="1"/>
      <c r="D265" s="7"/>
      <c r="E265" s="7"/>
      <c r="F265" s="7"/>
      <c r="G265" s="7"/>
      <c r="H265" s="7"/>
      <c r="I265" s="7"/>
      <c r="J265" s="7"/>
      <c r="K265" s="1"/>
      <c r="L265" s="1"/>
    </row>
    <row r="266" spans="1:12">
      <c r="A266" s="1"/>
      <c r="B266" s="1"/>
      <c r="C266" s="1"/>
      <c r="D266" s="7"/>
      <c r="E266" s="7"/>
      <c r="F266" s="7"/>
      <c r="G266" s="7"/>
      <c r="H266" s="7"/>
      <c r="I266" s="7"/>
      <c r="J266" s="7"/>
      <c r="K266" s="1"/>
      <c r="L266" s="1"/>
    </row>
    <row r="267" spans="1:12">
      <c r="A267" s="1" t="s">
        <v>14</v>
      </c>
      <c r="B267" s="4"/>
      <c r="C267" s="4"/>
      <c r="D267" s="5"/>
      <c r="E267" s="5"/>
      <c r="F267" s="5"/>
      <c r="G267" s="5"/>
      <c r="H267" s="6"/>
      <c r="I267" s="6"/>
      <c r="J267" s="5"/>
      <c r="K267" s="1"/>
      <c r="L267" s="1"/>
    </row>
    <row r="268" spans="1:12">
      <c r="A268" s="1">
        <v>65</v>
      </c>
      <c r="B268" s="1" t="s">
        <v>60</v>
      </c>
      <c r="C268" s="1" t="s">
        <v>12</v>
      </c>
      <c r="D268" s="7">
        <v>4032.2</v>
      </c>
      <c r="E268" s="7">
        <v>43.74</v>
      </c>
      <c r="F268" s="7">
        <v>0</v>
      </c>
      <c r="G268" s="7">
        <v>0</v>
      </c>
      <c r="H268" s="7">
        <v>0</v>
      </c>
      <c r="I268" s="7"/>
      <c r="J268" s="7">
        <f>SUM(D268:H268)</f>
        <v>4075.9399999999996</v>
      </c>
      <c r="K268" s="1"/>
      <c r="L268" s="1"/>
    </row>
    <row r="269" spans="1:12">
      <c r="A269" s="1"/>
      <c r="B269" s="1"/>
      <c r="C269" s="1" t="s">
        <v>13</v>
      </c>
      <c r="D269" s="7"/>
      <c r="E269" s="7"/>
      <c r="F269" s="7"/>
      <c r="G269" s="7"/>
      <c r="H269" s="7" t="s">
        <v>70</v>
      </c>
      <c r="I269" s="7"/>
      <c r="J269" s="7">
        <f>SUM(D269:H269)</f>
        <v>0</v>
      </c>
      <c r="K269" s="1"/>
      <c r="L269" s="1"/>
    </row>
    <row r="270" spans="1:12">
      <c r="A270" s="1"/>
      <c r="B270" s="1"/>
      <c r="C270" s="1" t="s">
        <v>10</v>
      </c>
      <c r="D270" s="7">
        <f>SUM(D268:D269)</f>
        <v>4032.2</v>
      </c>
      <c r="E270" s="7">
        <f>SUM(E268:E269)</f>
        <v>43.74</v>
      </c>
      <c r="F270" s="7">
        <f>SUM(F268:F269)</f>
        <v>0</v>
      </c>
      <c r="G270" s="7">
        <f>SUM(G268:G269)</f>
        <v>0</v>
      </c>
      <c r="H270" s="7">
        <f>SUM(H268:H269)</f>
        <v>0</v>
      </c>
      <c r="I270" s="7"/>
      <c r="J270" s="7">
        <f>SUM(D270:H270)</f>
        <v>4075.9399999999996</v>
      </c>
      <c r="K270" s="1"/>
      <c r="L270" s="1"/>
    </row>
    <row r="271" spans="1:12">
      <c r="A271" s="1"/>
      <c r="B271" s="1"/>
      <c r="C271" s="1"/>
      <c r="D271" s="7"/>
      <c r="E271" s="7"/>
      <c r="F271" s="7"/>
      <c r="G271" s="7"/>
      <c r="H271" s="7"/>
      <c r="I271" s="7"/>
      <c r="J271" s="7"/>
      <c r="K271" s="1"/>
      <c r="L271" s="1"/>
    </row>
    <row r="272" spans="1:12">
      <c r="A272" s="1"/>
      <c r="B272" s="1"/>
      <c r="C272" s="1"/>
      <c r="D272" s="7"/>
      <c r="E272" s="7"/>
      <c r="F272" s="7"/>
      <c r="G272" s="7"/>
      <c r="H272" s="7"/>
      <c r="I272" s="7"/>
      <c r="J272" s="7"/>
      <c r="K272" s="1"/>
      <c r="L272" s="1"/>
    </row>
    <row r="273" spans="1:12">
      <c r="A273" s="1" t="s">
        <v>14</v>
      </c>
      <c r="B273" s="1"/>
      <c r="C273" s="1"/>
      <c r="D273" s="7"/>
      <c r="E273" s="7"/>
      <c r="F273" s="7"/>
      <c r="G273" s="7"/>
      <c r="H273" s="7"/>
      <c r="I273" s="7"/>
      <c r="J273" s="7"/>
      <c r="K273" s="1"/>
      <c r="L273" s="1"/>
    </row>
    <row r="274" spans="1:12">
      <c r="A274" s="1">
        <v>66</v>
      </c>
      <c r="B274" s="1" t="s">
        <v>61</v>
      </c>
      <c r="C274" s="1" t="s">
        <v>12</v>
      </c>
      <c r="D274" s="7">
        <v>9289.6299999999992</v>
      </c>
      <c r="E274" s="7">
        <v>485.94</v>
      </c>
      <c r="F274" s="7">
        <v>477.71</v>
      </c>
      <c r="G274" s="7">
        <v>307.97000000000003</v>
      </c>
      <c r="H274" s="7">
        <v>109.74</v>
      </c>
      <c r="I274" s="7"/>
      <c r="J274" s="7">
        <f>SUM(D274:H274)</f>
        <v>10670.989999999998</v>
      </c>
      <c r="K274" s="1"/>
      <c r="L274" s="1"/>
    </row>
    <row r="275" spans="1:12">
      <c r="A275" s="1"/>
      <c r="B275" s="1"/>
      <c r="C275" s="1" t="s">
        <v>13</v>
      </c>
      <c r="D275" s="7">
        <v>919.1</v>
      </c>
      <c r="E275" s="7">
        <v>23.95</v>
      </c>
      <c r="F275" s="7">
        <v>42.71</v>
      </c>
      <c r="G275" s="7">
        <v>21.34</v>
      </c>
      <c r="H275" s="7">
        <v>7.62</v>
      </c>
      <c r="I275" s="7"/>
      <c r="J275" s="7">
        <f>SUM(D275:H275)</f>
        <v>1014.7200000000001</v>
      </c>
      <c r="K275" s="1"/>
      <c r="L275" s="1"/>
    </row>
    <row r="276" spans="1:12">
      <c r="A276" s="1"/>
      <c r="B276" s="1"/>
      <c r="C276" s="1" t="s">
        <v>10</v>
      </c>
      <c r="D276" s="1">
        <f>SUM(D274:D275)</f>
        <v>10208.73</v>
      </c>
      <c r="E276" s="1">
        <f>SUM(E274:E275)</f>
        <v>509.89</v>
      </c>
      <c r="F276" s="1">
        <f>SUM(F274:F275)</f>
        <v>520.41999999999996</v>
      </c>
      <c r="G276" s="1">
        <f>SUM(G274:G275)</f>
        <v>329.31</v>
      </c>
      <c r="H276" s="1">
        <f>SUM(H274:H275)</f>
        <v>117.36</v>
      </c>
      <c r="I276" s="1"/>
      <c r="J276" s="7">
        <f>SUM(D276:H276)</f>
        <v>11685.71</v>
      </c>
      <c r="K276" s="1"/>
      <c r="L276" s="1"/>
    </row>
    <row r="277" spans="1:12">
      <c r="A277" s="1"/>
      <c r="B277" s="1"/>
      <c r="C277" s="1"/>
      <c r="D277" s="1"/>
      <c r="E277" s="1"/>
      <c r="F277" s="1"/>
      <c r="G277" s="1"/>
      <c r="H277" s="1"/>
      <c r="I277" s="1"/>
      <c r="J277" s="7"/>
      <c r="K277" s="1"/>
      <c r="L277" s="1"/>
    </row>
    <row r="278" spans="1:12">
      <c r="A278" s="1"/>
      <c r="B278" s="1"/>
      <c r="C278" s="1"/>
      <c r="D278" s="7"/>
      <c r="E278" s="7"/>
      <c r="F278" s="7"/>
      <c r="G278" s="7"/>
      <c r="H278" s="7"/>
      <c r="I278" s="7"/>
      <c r="J278" s="7"/>
      <c r="K278" s="1"/>
      <c r="L278" s="1"/>
    </row>
    <row r="279" spans="1:12">
      <c r="A279" s="1" t="s">
        <v>14</v>
      </c>
      <c r="B279" s="1"/>
      <c r="C279" s="1"/>
      <c r="D279" s="7"/>
      <c r="E279" s="7"/>
      <c r="F279" s="7"/>
      <c r="G279" s="7"/>
      <c r="H279" s="7"/>
      <c r="I279" s="7"/>
      <c r="J279" s="7"/>
      <c r="K279" s="1"/>
      <c r="L279" s="1"/>
    </row>
    <row r="280" spans="1:12">
      <c r="A280" s="1">
        <v>67</v>
      </c>
      <c r="B280" s="1" t="s">
        <v>62</v>
      </c>
      <c r="C280" s="1" t="s">
        <v>12</v>
      </c>
      <c r="D280" s="7">
        <v>4785.28</v>
      </c>
      <c r="E280" s="7">
        <v>98.37</v>
      </c>
      <c r="F280" s="7">
        <v>37.31</v>
      </c>
      <c r="G280" s="7">
        <v>9.6999999999999993</v>
      </c>
      <c r="H280" s="7">
        <v>9.75</v>
      </c>
      <c r="I280" s="7"/>
      <c r="J280" s="7">
        <f>SUM(D280:H280)</f>
        <v>4940.41</v>
      </c>
      <c r="K280" s="1"/>
      <c r="L280" s="1"/>
    </row>
    <row r="281" spans="1:12">
      <c r="A281" s="1"/>
      <c r="B281" s="1"/>
      <c r="C281" s="1" t="s">
        <v>13</v>
      </c>
      <c r="D281" s="7">
        <v>122.76</v>
      </c>
      <c r="E281" s="7">
        <v>4.21</v>
      </c>
      <c r="F281" s="7">
        <v>0.93</v>
      </c>
      <c r="G281" s="7">
        <v>0.23</v>
      </c>
      <c r="H281" s="7">
        <v>0.23</v>
      </c>
      <c r="I281" s="7"/>
      <c r="J281" s="7">
        <f>SUM(D281:H281)</f>
        <v>128.35999999999999</v>
      </c>
      <c r="K281" s="1"/>
      <c r="L281" s="1"/>
    </row>
    <row r="282" spans="1:12">
      <c r="A282" s="1"/>
      <c r="B282" s="1"/>
      <c r="C282" s="1" t="s">
        <v>10</v>
      </c>
      <c r="D282" s="7">
        <f>SUM(D280:D281)</f>
        <v>4908.04</v>
      </c>
      <c r="E282" s="7">
        <f>SUM(E280:E281)</f>
        <v>102.58</v>
      </c>
      <c r="F282" s="7">
        <f>SUM(F280:F281)</f>
        <v>38.24</v>
      </c>
      <c r="G282" s="7">
        <f>SUM(G280:G281)</f>
        <v>9.93</v>
      </c>
      <c r="H282" s="7">
        <f>SUM(H280:H281)</f>
        <v>9.98</v>
      </c>
      <c r="I282" s="7"/>
      <c r="J282" s="7">
        <f>SUM(D282:H282)</f>
        <v>5068.7699999999995</v>
      </c>
      <c r="K282" s="1"/>
      <c r="L282" s="1"/>
    </row>
    <row r="283" spans="1:12">
      <c r="A283" s="1"/>
      <c r="B283" s="1"/>
      <c r="C283" s="1"/>
      <c r="D283" s="7"/>
      <c r="E283" s="7"/>
      <c r="F283" s="7"/>
      <c r="G283" s="7"/>
      <c r="H283" s="7"/>
      <c r="I283" s="7"/>
      <c r="J283" s="7"/>
      <c r="K283" s="1"/>
      <c r="L283" s="1"/>
    </row>
    <row r="284" spans="1:12">
      <c r="A284" s="1"/>
      <c r="B284" s="1"/>
      <c r="C284" s="1"/>
      <c r="D284" s="7"/>
      <c r="E284" s="7"/>
      <c r="F284" s="7"/>
      <c r="G284" s="7"/>
      <c r="H284" s="7"/>
      <c r="I284" s="7"/>
      <c r="J284" s="7"/>
      <c r="K284" s="1"/>
      <c r="L284" s="1"/>
    </row>
    <row r="285" spans="1:12">
      <c r="A285" s="1" t="s">
        <v>14</v>
      </c>
      <c r="B285" s="1"/>
      <c r="C285" s="1"/>
      <c r="D285" s="7"/>
      <c r="E285" s="7"/>
      <c r="F285" s="7"/>
      <c r="G285" s="7"/>
      <c r="H285" s="7"/>
      <c r="I285" s="7"/>
      <c r="J285" s="7"/>
      <c r="K285" s="1"/>
      <c r="L285" s="1"/>
    </row>
    <row r="286" spans="1:12">
      <c r="A286" s="1">
        <v>68</v>
      </c>
      <c r="B286" s="1" t="s">
        <v>63</v>
      </c>
      <c r="C286" s="1" t="s">
        <v>12</v>
      </c>
      <c r="D286" s="7">
        <v>6065.28</v>
      </c>
      <c r="E286" s="7">
        <v>166.6</v>
      </c>
      <c r="F286" s="7">
        <v>67.59</v>
      </c>
      <c r="G286" s="7">
        <v>72.900000000000006</v>
      </c>
      <c r="H286" s="7">
        <v>0</v>
      </c>
      <c r="I286" s="7"/>
      <c r="J286" s="7">
        <f>SUM(D286:H286)</f>
        <v>6372.37</v>
      </c>
      <c r="K286" s="1"/>
      <c r="L286" s="1"/>
    </row>
    <row r="287" spans="1:12">
      <c r="A287" s="1"/>
      <c r="B287" s="1"/>
      <c r="C287" s="1" t="s">
        <v>13</v>
      </c>
      <c r="D287" s="7">
        <v>474.84</v>
      </c>
      <c r="E287" s="7">
        <v>6.67</v>
      </c>
      <c r="F287" s="7">
        <v>5.14</v>
      </c>
      <c r="G287" s="7">
        <v>4.0599999999999996</v>
      </c>
      <c r="H287" s="7">
        <v>0</v>
      </c>
      <c r="I287" s="7"/>
      <c r="J287" s="7">
        <f>SUM(D287:H287)</f>
        <v>490.71</v>
      </c>
      <c r="K287" s="1"/>
      <c r="L287" s="1"/>
    </row>
    <row r="288" spans="1:12">
      <c r="A288" s="1"/>
      <c r="B288" s="1"/>
      <c r="C288" s="1" t="s">
        <v>10</v>
      </c>
      <c r="D288" s="7">
        <f>SUM(D286:D287)</f>
        <v>6540.12</v>
      </c>
      <c r="E288" s="7">
        <f>SUM(E286:E287)</f>
        <v>173.26999999999998</v>
      </c>
      <c r="F288" s="7">
        <f>SUM(F286:F287)</f>
        <v>72.73</v>
      </c>
      <c r="G288" s="7">
        <f>SUM(G286:G287)</f>
        <v>76.960000000000008</v>
      </c>
      <c r="H288" s="7">
        <f>SUM(H286:H287)</f>
        <v>0</v>
      </c>
      <c r="I288" s="7"/>
      <c r="J288" s="7">
        <f>SUM(D288:H288)</f>
        <v>6863.079999999999</v>
      </c>
      <c r="K288" s="1"/>
      <c r="L288" s="1"/>
    </row>
    <row r="289" spans="1:12">
      <c r="A289" s="1"/>
      <c r="B289" s="1"/>
      <c r="C289" s="1"/>
      <c r="D289" s="7"/>
      <c r="E289" s="7"/>
      <c r="F289" s="7"/>
      <c r="G289" s="7"/>
      <c r="H289" s="7"/>
      <c r="I289" s="7"/>
      <c r="J289" s="7"/>
      <c r="K289" s="1"/>
      <c r="L289" s="1"/>
    </row>
    <row r="290" spans="1:12">
      <c r="A290" s="1"/>
      <c r="B290" s="1"/>
      <c r="C290" s="1"/>
      <c r="D290" s="7"/>
      <c r="E290" s="7"/>
      <c r="F290" s="7"/>
      <c r="G290" s="7"/>
      <c r="H290" s="7"/>
      <c r="I290" s="7"/>
      <c r="J290" s="7"/>
      <c r="K290" s="1"/>
      <c r="L290" s="1"/>
    </row>
    <row r="291" spans="1:12">
      <c r="A291" s="1" t="s">
        <v>14</v>
      </c>
      <c r="B291" s="1"/>
      <c r="C291" s="1"/>
      <c r="D291" s="7"/>
      <c r="E291" s="7"/>
      <c r="F291" s="7"/>
      <c r="G291" s="7"/>
      <c r="H291" s="7"/>
      <c r="I291" s="7"/>
      <c r="J291" s="7"/>
      <c r="K291" s="1"/>
      <c r="L291" s="1"/>
    </row>
    <row r="292" spans="1:12">
      <c r="A292" s="1">
        <v>69</v>
      </c>
      <c r="B292" s="1" t="s">
        <v>64</v>
      </c>
      <c r="C292" s="1" t="s">
        <v>12</v>
      </c>
      <c r="D292" s="7">
        <v>8348.82</v>
      </c>
      <c r="E292" s="7">
        <v>313.14999999999998</v>
      </c>
      <c r="F292" s="7">
        <v>127.4</v>
      </c>
      <c r="G292" s="7">
        <v>14.61</v>
      </c>
      <c r="H292" s="7">
        <v>9.49</v>
      </c>
      <c r="I292" s="7"/>
      <c r="J292" s="7">
        <f>SUM(D292:H292)</f>
        <v>8813.4699999999993</v>
      </c>
      <c r="K292" s="1"/>
      <c r="L292" s="1"/>
    </row>
    <row r="293" spans="1:12">
      <c r="A293" s="1"/>
      <c r="B293" s="1"/>
      <c r="C293" s="1" t="s">
        <v>13</v>
      </c>
      <c r="D293" s="7"/>
      <c r="E293" s="7"/>
      <c r="F293" s="7"/>
      <c r="G293" s="7">
        <v>0.31</v>
      </c>
      <c r="H293" s="7">
        <v>0.2</v>
      </c>
      <c r="I293" s="7"/>
      <c r="J293" s="7">
        <f>SUM(D293:H293)</f>
        <v>0.51</v>
      </c>
      <c r="K293" s="1"/>
      <c r="L293" s="1"/>
    </row>
    <row r="294" spans="1:12">
      <c r="A294" s="1"/>
      <c r="B294" s="1"/>
      <c r="C294" s="1" t="s">
        <v>10</v>
      </c>
      <c r="D294" s="7">
        <f>SUM(D292:D293)</f>
        <v>8348.82</v>
      </c>
      <c r="E294" s="7">
        <f>SUM(E292:E293)</f>
        <v>313.14999999999998</v>
      </c>
      <c r="F294" s="7">
        <f>SUM(F292:F293)</f>
        <v>127.4</v>
      </c>
      <c r="G294" s="7">
        <f>SUM(G292:G293)</f>
        <v>14.92</v>
      </c>
      <c r="H294" s="7">
        <f>SUM(H292:H293)</f>
        <v>9.69</v>
      </c>
      <c r="I294" s="7"/>
      <c r="J294" s="7">
        <f>SUM(D294:H294)</f>
        <v>8813.98</v>
      </c>
      <c r="K294" s="1"/>
      <c r="L294" s="1"/>
    </row>
    <row r="295" spans="1:12">
      <c r="A295" s="1"/>
      <c r="B295" s="1"/>
      <c r="C295" s="1"/>
      <c r="D295" s="7"/>
      <c r="E295" s="7"/>
      <c r="F295" s="7"/>
      <c r="G295" s="7"/>
      <c r="H295" s="7"/>
      <c r="I295" s="7"/>
      <c r="J295" s="7"/>
      <c r="K295" s="1"/>
      <c r="L295" s="1"/>
    </row>
    <row r="296" spans="1:12">
      <c r="A296" s="1"/>
      <c r="B296" s="1"/>
      <c r="C296" s="1"/>
      <c r="D296" s="7"/>
      <c r="E296" s="7"/>
      <c r="F296" s="7"/>
      <c r="G296" s="7"/>
      <c r="H296" s="7"/>
      <c r="I296" s="7"/>
      <c r="J296" s="7"/>
      <c r="K296" s="1"/>
      <c r="L296" s="1"/>
    </row>
    <row r="297" spans="1:12">
      <c r="A297" s="1" t="s">
        <v>14</v>
      </c>
      <c r="B297" s="1"/>
      <c r="C297" s="1"/>
      <c r="D297" s="7"/>
      <c r="E297" s="7"/>
      <c r="F297" s="7"/>
      <c r="G297" s="7"/>
      <c r="H297" s="7"/>
      <c r="I297" s="7"/>
      <c r="J297" s="7"/>
      <c r="K297" s="1"/>
      <c r="L297" s="1"/>
    </row>
    <row r="298" spans="1:12">
      <c r="A298" s="1">
        <v>70</v>
      </c>
      <c r="B298" s="1" t="s">
        <v>65</v>
      </c>
      <c r="C298" s="1" t="s">
        <v>12</v>
      </c>
      <c r="D298" s="7">
        <v>7170.94</v>
      </c>
      <c r="E298" s="7">
        <v>357.11</v>
      </c>
      <c r="F298" s="7">
        <v>234.57</v>
      </c>
      <c r="G298" s="7">
        <v>75.14</v>
      </c>
      <c r="H298" s="7">
        <v>0</v>
      </c>
      <c r="I298" s="7"/>
      <c r="J298" s="7">
        <f>SUM(D298:H298)</f>
        <v>7837.7599999999993</v>
      </c>
      <c r="K298" s="1"/>
      <c r="L298" s="1"/>
    </row>
    <row r="299" spans="1:12">
      <c r="A299" s="1"/>
      <c r="B299" s="1"/>
      <c r="C299" s="1"/>
      <c r="D299" s="7"/>
      <c r="E299" s="7"/>
      <c r="F299" s="7"/>
      <c r="G299" s="7"/>
      <c r="H299" s="7"/>
      <c r="I299" s="7"/>
      <c r="J299" s="7">
        <f>SUM(D299:H299)</f>
        <v>0</v>
      </c>
      <c r="K299" s="1"/>
      <c r="L299" s="1"/>
    </row>
    <row r="300" spans="1:12">
      <c r="A300" s="1"/>
      <c r="B300" s="1"/>
      <c r="C300" s="1" t="s">
        <v>10</v>
      </c>
      <c r="D300" s="7">
        <f>SUM(D298:D299)</f>
        <v>7170.94</v>
      </c>
      <c r="E300" s="7">
        <f>SUM(E298:E299)</f>
        <v>357.11</v>
      </c>
      <c r="F300" s="7">
        <f>SUM(F298:F299)</f>
        <v>234.57</v>
      </c>
      <c r="G300" s="7">
        <f>SUM(G298:G299)</f>
        <v>75.14</v>
      </c>
      <c r="H300" s="7">
        <f>SUM(H298:H299)</f>
        <v>0</v>
      </c>
      <c r="I300" s="7"/>
      <c r="J300" s="7">
        <f>SUM(D300:H300)</f>
        <v>7837.7599999999993</v>
      </c>
      <c r="K300" s="1"/>
      <c r="L300" s="1"/>
    </row>
    <row r="301" spans="1:12">
      <c r="A301" s="1"/>
      <c r="B301" s="1"/>
      <c r="C301" s="1"/>
      <c r="D301" s="7"/>
      <c r="E301" s="7"/>
      <c r="F301" s="7"/>
      <c r="G301" s="7"/>
      <c r="H301" s="7"/>
      <c r="I301" s="7"/>
      <c r="J301" s="7"/>
      <c r="K301" s="1"/>
      <c r="L301" s="1"/>
    </row>
    <row r="302" spans="1:12">
      <c r="A302" s="1" t="s">
        <v>14</v>
      </c>
      <c r="B302" s="1"/>
      <c r="C302" s="1"/>
      <c r="D302" s="7"/>
      <c r="E302" s="7"/>
      <c r="F302" s="7"/>
      <c r="G302" s="7"/>
      <c r="H302" s="7"/>
      <c r="I302" s="7"/>
      <c r="J302" s="7"/>
      <c r="K302" s="1"/>
      <c r="L302" s="1"/>
    </row>
    <row r="303" spans="1:12">
      <c r="A303" s="1"/>
      <c r="B303" s="1"/>
      <c r="C303" s="1" t="s">
        <v>66</v>
      </c>
      <c r="D303" s="7">
        <f>SUM(D9:D300)/2</f>
        <v>379927.11000000004</v>
      </c>
      <c r="E303" s="7">
        <f>SUM(E9:E300)/2</f>
        <v>12822.829999999994</v>
      </c>
      <c r="F303" s="7">
        <f>SUM(F9:F300)/2</f>
        <v>5891.6399999999985</v>
      </c>
      <c r="G303" s="7">
        <f>SUM(G9:G300)/2</f>
        <v>2747.5399999999995</v>
      </c>
      <c r="H303" s="7">
        <f>SUM(H9:H300)/2</f>
        <v>950.49999999999989</v>
      </c>
      <c r="I303" s="7"/>
      <c r="J303" s="7">
        <f>SUM(D303:H303)</f>
        <v>402339.62000000005</v>
      </c>
      <c r="K303" s="1"/>
      <c r="L303" s="1"/>
    </row>
    <row r="304" spans="1:12">
      <c r="A304" s="1"/>
      <c r="B304" s="1"/>
      <c r="C304" s="1"/>
      <c r="D304" s="7"/>
      <c r="E304" s="7"/>
      <c r="F304" s="7"/>
      <c r="G304" s="7"/>
      <c r="H304" s="7"/>
      <c r="I304" s="7"/>
      <c r="J304" s="7" t="s">
        <v>70</v>
      </c>
      <c r="K304" s="1"/>
      <c r="L304" s="1"/>
    </row>
    <row r="305" spans="1:1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</sheetData>
  <phoneticPr fontId="0" type="noConversion"/>
  <pageMargins left="0.25" right="0.25" top="0.25" bottom="0.25" header="0.5" footer="0.5"/>
  <pageSetup orientation="landscape" r:id="rId1"/>
  <headerFooter alignWithMargins="0"/>
  <rowBreaks count="51" manualBreakCount="51">
    <brk id="7" max="65535" man="1"/>
    <brk id="12" max="65535" man="1"/>
    <brk id="18" max="65535" man="1"/>
    <brk id="24" max="65535" man="1"/>
    <brk id="30" max="65535" man="1"/>
    <brk id="36" max="65535" man="1"/>
    <brk id="43" max="65535" man="1"/>
    <brk id="49" max="65535" man="1"/>
    <brk id="56" max="65535" man="1"/>
    <brk id="62" max="65535" man="1"/>
    <brk id="68" max="65535" man="1"/>
    <brk id="75" max="65535" man="1"/>
    <brk id="82" max="65535" man="1"/>
    <brk id="89" max="65535" man="1"/>
    <brk id="94" max="65535" man="1"/>
    <brk id="100" max="65535" man="1"/>
    <brk id="105" max="65535" man="1"/>
    <brk id="111" max="65535" man="1"/>
    <brk id="117" max="65535" man="1"/>
    <brk id="121" max="65535" man="1"/>
    <brk id="127" max="65535" man="1"/>
    <brk id="133" max="65535" man="1"/>
    <brk id="140" max="65535" man="1"/>
    <brk id="146" max="65535" man="1"/>
    <brk id="151" max="65535" man="1"/>
    <brk id="156" max="65535" man="1"/>
    <brk id="162" max="65535" man="1"/>
    <brk id="167" max="65535" man="1"/>
    <brk id="172" max="65535" man="1"/>
    <brk id="178" max="65535" man="1"/>
    <brk id="185" max="65535" man="1"/>
    <brk id="191" max="65535" man="1"/>
    <brk id="197" max="65535" man="1"/>
    <brk id="202" max="65535" man="1"/>
    <brk id="208" max="65535" man="1"/>
    <brk id="214" max="65535" man="1"/>
    <brk id="220" max="65535" man="1"/>
    <brk id="226" max="65535" man="1"/>
    <brk id="232" max="65535" man="1"/>
    <brk id="237" max="65535" man="1"/>
    <brk id="243" max="65535" man="1"/>
    <brk id="249" max="65535" man="1"/>
    <brk id="255" max="65535" man="1"/>
    <brk id="260" max="65535" man="1"/>
    <brk id="266" max="65535" man="1"/>
    <brk id="273" max="65535" man="1"/>
    <brk id="279" max="65535" man="1"/>
    <brk id="285" max="65535" man="1"/>
    <brk id="290" max="65535" man="1"/>
    <brk id="297" max="65535" man="1"/>
    <brk id="302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L306"/>
  <sheetViews>
    <sheetView showOutlineSymbols="0" defaultGridColor="0" colorId="23" zoomScale="75" workbookViewId="0"/>
  </sheetViews>
  <sheetFormatPr defaultColWidth="9.6640625" defaultRowHeight="15"/>
  <cols>
    <col min="1" max="1" width="9.6640625" customWidth="1"/>
    <col min="2" max="2" width="16.6640625" customWidth="1"/>
    <col min="3" max="3" width="21.6640625" customWidth="1"/>
    <col min="4" max="5" width="11.6640625" customWidth="1"/>
    <col min="6" max="9" width="9.6640625" customWidth="1"/>
    <col min="10" max="10" width="12.6640625" customWidth="1"/>
  </cols>
  <sheetData>
    <row r="1" spans="1:12">
      <c r="A1" s="1" t="s">
        <v>71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</row>
    <row r="2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 t="s">
        <v>72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>
      <c r="A4" s="1"/>
      <c r="B4" s="3"/>
      <c r="C4" s="2"/>
      <c r="D4" s="2"/>
      <c r="E4" s="2"/>
      <c r="F4" s="2"/>
      <c r="G4" s="2"/>
      <c r="H4" s="2"/>
      <c r="I4" s="2"/>
      <c r="J4" s="2"/>
      <c r="K4" s="1"/>
      <c r="L4" s="1"/>
    </row>
    <row r="5" spans="1:12" ht="15.75">
      <c r="A5" s="1"/>
      <c r="B5" s="3"/>
      <c r="C5" s="2"/>
      <c r="D5" s="2"/>
      <c r="E5" s="2"/>
      <c r="F5" s="2"/>
      <c r="G5" s="2"/>
      <c r="H5" s="2"/>
      <c r="I5" s="2"/>
      <c r="J5" s="2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4" t="s">
        <v>3</v>
      </c>
      <c r="C7" s="4" t="s">
        <v>4</v>
      </c>
      <c r="D7" s="5">
        <v>1994</v>
      </c>
      <c r="E7" s="5">
        <v>1993</v>
      </c>
      <c r="F7" s="5">
        <v>1992</v>
      </c>
      <c r="G7" s="5">
        <v>1991</v>
      </c>
      <c r="H7" s="6">
        <v>1990</v>
      </c>
      <c r="I7" s="6"/>
      <c r="J7" s="5" t="s">
        <v>10</v>
      </c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>
        <v>21</v>
      </c>
      <c r="B9" s="1" t="s">
        <v>11</v>
      </c>
      <c r="C9" s="1" t="s">
        <v>12</v>
      </c>
      <c r="D9" s="7">
        <v>14051.33</v>
      </c>
      <c r="E9" s="7">
        <v>581.47</v>
      </c>
      <c r="F9" s="7">
        <v>167.39</v>
      </c>
      <c r="G9" s="7">
        <v>169.32</v>
      </c>
      <c r="H9" s="7">
        <v>0</v>
      </c>
      <c r="I9" s="7"/>
      <c r="J9" s="7">
        <f>SUM(D9:H9)</f>
        <v>14969.509999999998</v>
      </c>
      <c r="K9" s="1"/>
      <c r="L9" s="1"/>
    </row>
    <row r="10" spans="1:12">
      <c r="A10" s="1"/>
      <c r="B10" s="1"/>
      <c r="C10" s="1" t="s">
        <v>13</v>
      </c>
      <c r="D10" s="7">
        <v>255.99</v>
      </c>
      <c r="E10" s="7">
        <v>10.62</v>
      </c>
      <c r="F10" s="7">
        <v>3.07</v>
      </c>
      <c r="G10" s="7">
        <v>3.44</v>
      </c>
      <c r="H10" s="7">
        <v>0</v>
      </c>
      <c r="I10" s="7"/>
      <c r="J10" s="7">
        <f>SUM(D10:H10)</f>
        <v>273.12</v>
      </c>
      <c r="K10" s="1"/>
      <c r="L10" s="1"/>
    </row>
    <row r="11" spans="1:12">
      <c r="A11" s="1"/>
      <c r="B11" s="1"/>
      <c r="C11" s="1" t="s">
        <v>10</v>
      </c>
      <c r="D11" s="7">
        <f>SUM(D9:D10)</f>
        <v>14307.32</v>
      </c>
      <c r="E11" s="7">
        <f>SUM(E9:E10)</f>
        <v>592.09</v>
      </c>
      <c r="F11" s="7">
        <f>SUM(F9:F10)</f>
        <v>170.45999999999998</v>
      </c>
      <c r="G11" s="7">
        <f>SUM(G9:G10)</f>
        <v>172.76</v>
      </c>
      <c r="H11" s="7">
        <f>SUM(H9:H10)</f>
        <v>0</v>
      </c>
      <c r="I11" s="7"/>
      <c r="J11" s="7">
        <f>SUM(D11:H11)</f>
        <v>15242.63</v>
      </c>
      <c r="K11" s="1"/>
      <c r="L11" s="1"/>
    </row>
    <row r="12" spans="1:12">
      <c r="A12" s="1"/>
      <c r="B12" s="1"/>
      <c r="C12" s="1"/>
      <c r="D12" s="7"/>
      <c r="E12" s="7"/>
      <c r="F12" s="7"/>
      <c r="G12" s="7"/>
      <c r="H12" s="7"/>
      <c r="I12" s="7"/>
      <c r="J12" s="7"/>
      <c r="K12" s="1"/>
      <c r="L12" s="1"/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7"/>
      <c r="K13" s="1"/>
      <c r="L13" s="1"/>
    </row>
    <row r="14" spans="1:12">
      <c r="A14" s="1"/>
      <c r="B14" s="1"/>
      <c r="C14" s="1"/>
      <c r="D14" s="7"/>
      <c r="E14" s="7"/>
      <c r="F14" s="7"/>
      <c r="G14" s="7"/>
      <c r="H14" s="7"/>
      <c r="I14" s="7"/>
      <c r="J14" s="7"/>
      <c r="K14" s="1"/>
      <c r="L14" s="1"/>
    </row>
    <row r="15" spans="1:12">
      <c r="A15" s="1"/>
      <c r="B15" s="1"/>
      <c r="C15" s="1"/>
      <c r="D15" s="7"/>
      <c r="E15" s="7"/>
      <c r="F15" s="7"/>
      <c r="G15" s="7"/>
      <c r="H15" s="7"/>
      <c r="I15" s="7"/>
      <c r="J15" s="7"/>
      <c r="K15" s="1"/>
      <c r="L15" s="1"/>
    </row>
    <row r="16" spans="1:12">
      <c r="A16" s="1">
        <v>22</v>
      </c>
      <c r="B16" s="1" t="s">
        <v>15</v>
      </c>
      <c r="C16" s="1" t="s">
        <v>12</v>
      </c>
      <c r="D16" s="7">
        <v>13532.03</v>
      </c>
      <c r="E16" s="7">
        <v>26.85</v>
      </c>
      <c r="F16" s="7">
        <v>0</v>
      </c>
      <c r="G16" s="7">
        <v>0</v>
      </c>
      <c r="H16" s="7">
        <v>0</v>
      </c>
      <c r="I16" s="7"/>
      <c r="J16" s="7">
        <f>SUM(D16:H16)</f>
        <v>13558.880000000001</v>
      </c>
      <c r="K16" s="1"/>
      <c r="L16" s="1"/>
    </row>
    <row r="17" spans="1:12">
      <c r="A17" s="1"/>
      <c r="B17" s="1"/>
      <c r="C17" s="1" t="s">
        <v>13</v>
      </c>
      <c r="D17" s="7">
        <v>909.89</v>
      </c>
      <c r="E17" s="7">
        <v>1.32</v>
      </c>
      <c r="F17" s="7">
        <v>0</v>
      </c>
      <c r="G17" s="7">
        <v>0</v>
      </c>
      <c r="H17" s="7">
        <v>0</v>
      </c>
      <c r="I17" s="7"/>
      <c r="J17" s="7">
        <f>SUM(D17:H17)</f>
        <v>911.21</v>
      </c>
      <c r="K17" s="1"/>
      <c r="L17" s="1"/>
    </row>
    <row r="18" spans="1:12">
      <c r="A18" s="1"/>
      <c r="B18" s="1"/>
      <c r="C18" s="1" t="s">
        <v>10</v>
      </c>
      <c r="D18" s="7">
        <f>SUM(D16:D17)</f>
        <v>14441.92</v>
      </c>
      <c r="E18" s="7">
        <f>SUM(E16:E17)</f>
        <v>28.17</v>
      </c>
      <c r="F18" s="7">
        <f>SUM(F16:F17)</f>
        <v>0</v>
      </c>
      <c r="G18" s="7">
        <f>SUM(G16:G17)</f>
        <v>0</v>
      </c>
      <c r="H18" s="7">
        <f>SUM(H16:H17)</f>
        <v>0</v>
      </c>
      <c r="I18" s="7"/>
      <c r="J18" s="7">
        <f>SUM(D18:H18)</f>
        <v>14470.09</v>
      </c>
      <c r="K18" s="1"/>
      <c r="L18" s="1"/>
    </row>
    <row r="19" spans="1:12">
      <c r="A19" s="1"/>
      <c r="B19" s="1"/>
      <c r="C19" s="1"/>
      <c r="D19" s="7"/>
      <c r="E19" s="7"/>
      <c r="F19" s="7"/>
      <c r="G19" s="7"/>
      <c r="H19" s="7"/>
      <c r="I19" s="7"/>
      <c r="J19" s="7"/>
      <c r="K19" s="1"/>
      <c r="L19" s="1"/>
    </row>
    <row r="20" spans="1:12">
      <c r="A20" s="1"/>
      <c r="B20" s="1"/>
      <c r="C20" s="1"/>
      <c r="D20" s="7"/>
      <c r="E20" s="7"/>
      <c r="F20" s="7"/>
      <c r="G20" s="7"/>
      <c r="H20" s="7"/>
      <c r="I20" s="7"/>
      <c r="J20" s="7"/>
      <c r="K20" s="1"/>
      <c r="L20" s="1"/>
    </row>
    <row r="21" spans="1:12">
      <c r="A21" s="1"/>
      <c r="B21" s="1"/>
      <c r="C21" s="1"/>
      <c r="D21" s="7"/>
      <c r="E21" s="7"/>
      <c r="F21" s="7"/>
      <c r="G21" s="7"/>
      <c r="H21" s="7"/>
      <c r="I21" s="7"/>
      <c r="J21" s="7"/>
      <c r="K21" s="1"/>
      <c r="L21" s="1"/>
    </row>
    <row r="22" spans="1:12">
      <c r="A22" s="1">
        <v>23</v>
      </c>
      <c r="B22" s="1" t="s">
        <v>16</v>
      </c>
      <c r="C22" s="1" t="s">
        <v>12</v>
      </c>
      <c r="D22" s="7">
        <v>10396.540000000001</v>
      </c>
      <c r="E22" s="7">
        <v>616.82000000000005</v>
      </c>
      <c r="F22" s="7">
        <v>533.84</v>
      </c>
      <c r="G22" s="7">
        <v>0</v>
      </c>
      <c r="H22" s="7">
        <v>0</v>
      </c>
      <c r="I22" s="7"/>
      <c r="J22" s="7">
        <f>SUM(D22:H22)</f>
        <v>11547.2</v>
      </c>
      <c r="K22" s="1"/>
      <c r="L22" s="1"/>
    </row>
    <row r="23" spans="1:12">
      <c r="A23" s="1"/>
      <c r="B23" s="1"/>
      <c r="C23" s="1" t="s">
        <v>13</v>
      </c>
      <c r="D23" s="7">
        <v>460.98</v>
      </c>
      <c r="E23" s="7">
        <v>31.32</v>
      </c>
      <c r="F23" s="7">
        <v>34.46</v>
      </c>
      <c r="G23" s="7">
        <v>0</v>
      </c>
      <c r="H23" s="7">
        <v>0</v>
      </c>
      <c r="I23" s="7"/>
      <c r="J23" s="7">
        <f>SUM(D23:H23)</f>
        <v>526.76</v>
      </c>
      <c r="K23" s="1"/>
      <c r="L23" s="1"/>
    </row>
    <row r="24" spans="1:12">
      <c r="A24" s="1"/>
      <c r="B24" s="1"/>
      <c r="C24" s="1" t="s">
        <v>10</v>
      </c>
      <c r="D24" s="1">
        <f>SUM(D22:D23)</f>
        <v>10857.52</v>
      </c>
      <c r="E24" s="1">
        <f>SUM(E22:E23)</f>
        <v>648.1400000000001</v>
      </c>
      <c r="F24" s="1">
        <f>SUM(F22:F23)</f>
        <v>568.30000000000007</v>
      </c>
      <c r="G24" s="1">
        <f>SUM(G22:G23)</f>
        <v>0</v>
      </c>
      <c r="H24" s="1">
        <f>SUM(H22:H23)</f>
        <v>0</v>
      </c>
      <c r="I24" s="1"/>
      <c r="J24" s="7">
        <f>SUM(D24:H24)</f>
        <v>12073.96</v>
      </c>
      <c r="K24" s="1"/>
      <c r="L24" s="1"/>
    </row>
    <row r="25" spans="1:12">
      <c r="A25" s="1"/>
      <c r="B25" s="1"/>
      <c r="C25" s="1"/>
      <c r="D25" s="7"/>
      <c r="E25" s="7"/>
      <c r="F25" s="7"/>
      <c r="G25" s="7"/>
      <c r="H25" s="7"/>
      <c r="I25" s="7"/>
      <c r="J25" s="7"/>
      <c r="K25" s="1"/>
      <c r="L25" s="1"/>
    </row>
    <row r="26" spans="1:12">
      <c r="A26" s="1"/>
      <c r="B26" s="1"/>
      <c r="C26" s="1"/>
      <c r="D26" s="7"/>
      <c r="E26" s="7"/>
      <c r="F26" s="7"/>
      <c r="G26" s="7"/>
      <c r="H26" s="7"/>
      <c r="I26" s="7"/>
      <c r="J26" s="7"/>
      <c r="K26" s="1"/>
      <c r="L26" s="1"/>
    </row>
    <row r="27" spans="1:12">
      <c r="A27" s="1"/>
      <c r="B27" s="1"/>
      <c r="C27" s="1"/>
      <c r="D27" s="7"/>
      <c r="E27" s="7"/>
      <c r="F27" s="7"/>
      <c r="G27" s="7"/>
      <c r="H27" s="7"/>
      <c r="I27" s="7"/>
      <c r="J27" s="7"/>
      <c r="K27" s="1"/>
      <c r="L27" s="1"/>
    </row>
    <row r="28" spans="1:12">
      <c r="A28" s="1">
        <v>24</v>
      </c>
      <c r="B28" s="1" t="s">
        <v>17</v>
      </c>
      <c r="C28" s="1" t="s">
        <v>12</v>
      </c>
      <c r="D28" s="7">
        <v>8140.6</v>
      </c>
      <c r="E28" s="7">
        <v>93.69</v>
      </c>
      <c r="F28" s="7">
        <v>0</v>
      </c>
      <c r="G28" s="7">
        <v>0</v>
      </c>
      <c r="H28" s="7">
        <v>0</v>
      </c>
      <c r="I28" s="7"/>
      <c r="J28" s="7">
        <f>SUM(D28:H28)</f>
        <v>8234.2900000000009</v>
      </c>
      <c r="K28" s="1"/>
      <c r="L28" s="1"/>
    </row>
    <row r="29" spans="1:12">
      <c r="A29" s="1"/>
      <c r="B29" s="1"/>
      <c r="C29" s="1"/>
      <c r="D29" s="7"/>
      <c r="E29" s="7"/>
      <c r="F29" s="7"/>
      <c r="G29" s="7"/>
      <c r="H29" s="7"/>
      <c r="I29" s="7"/>
      <c r="J29" s="7">
        <f>SUM(D29:H29)</f>
        <v>0</v>
      </c>
      <c r="K29" s="1"/>
      <c r="L29" s="1"/>
    </row>
    <row r="30" spans="1:12">
      <c r="A30" s="1"/>
      <c r="B30" s="1"/>
      <c r="C30" s="1" t="s">
        <v>10</v>
      </c>
      <c r="D30" s="1">
        <f>SUM(D28:D29)</f>
        <v>8140.6</v>
      </c>
      <c r="E30" s="1">
        <f>SUM(E28:E29)</f>
        <v>93.69</v>
      </c>
      <c r="F30" s="1">
        <f>SUM(F28:F29)</f>
        <v>0</v>
      </c>
      <c r="G30" s="1">
        <f>SUM(G28:G29)</f>
        <v>0</v>
      </c>
      <c r="H30" s="1">
        <f>SUM(H28:H29)</f>
        <v>0</v>
      </c>
      <c r="I30" s="1"/>
      <c r="J30" s="7">
        <f>SUM(D30:H30)</f>
        <v>8234.2900000000009</v>
      </c>
      <c r="K30" s="1"/>
      <c r="L30" s="1"/>
    </row>
    <row r="31" spans="1:12">
      <c r="A31" s="1"/>
      <c r="B31" s="1"/>
      <c r="C31" s="1"/>
      <c r="D31" s="7"/>
      <c r="E31" s="7"/>
      <c r="F31" s="7"/>
      <c r="G31" s="7"/>
      <c r="H31" s="7"/>
      <c r="I31" s="7"/>
      <c r="J31" s="7"/>
      <c r="K31" s="1"/>
      <c r="L31" s="1"/>
    </row>
    <row r="32" spans="1:12">
      <c r="A32" s="1"/>
      <c r="B32" s="1"/>
      <c r="C32" s="1"/>
      <c r="D32" s="7"/>
      <c r="E32" s="7"/>
      <c r="F32" s="7"/>
      <c r="G32" s="7"/>
      <c r="H32" s="7"/>
      <c r="I32" s="7"/>
      <c r="J32" s="7"/>
      <c r="K32" s="1"/>
      <c r="L32" s="1"/>
    </row>
    <row r="33" spans="1:12">
      <c r="A33" s="1"/>
      <c r="B33" s="1"/>
      <c r="C33" s="1"/>
      <c r="D33" s="7"/>
      <c r="E33" s="7"/>
      <c r="F33" s="7"/>
      <c r="G33" s="7"/>
      <c r="H33" s="7"/>
      <c r="I33" s="7"/>
      <c r="J33" s="7"/>
      <c r="K33" s="1"/>
      <c r="L33" s="1"/>
    </row>
    <row r="34" spans="1:12">
      <c r="A34" s="1">
        <v>25</v>
      </c>
      <c r="B34" s="1" t="s">
        <v>18</v>
      </c>
      <c r="C34" s="1" t="s">
        <v>12</v>
      </c>
      <c r="D34" s="7">
        <v>20520.64</v>
      </c>
      <c r="E34" s="7">
        <v>426.52</v>
      </c>
      <c r="F34" s="7">
        <v>0</v>
      </c>
      <c r="G34" s="7">
        <v>0</v>
      </c>
      <c r="H34" s="7">
        <v>0</v>
      </c>
      <c r="I34" s="7"/>
      <c r="J34" s="7">
        <f>SUM(D34:H34)</f>
        <v>20947.16</v>
      </c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7"/>
      <c r="K35" s="1"/>
      <c r="L35" s="1"/>
    </row>
    <row r="36" spans="1:12">
      <c r="A36" s="1"/>
      <c r="B36" s="1"/>
      <c r="C36" s="1" t="s">
        <v>10</v>
      </c>
      <c r="D36" s="7">
        <f>SUM(D34:D35)</f>
        <v>20520.64</v>
      </c>
      <c r="E36" s="7">
        <f>SUM(E34:E35)</f>
        <v>426.52</v>
      </c>
      <c r="F36" s="7">
        <f>SUM(F34:F35)</f>
        <v>0</v>
      </c>
      <c r="G36" s="7">
        <f>SUM(G34:G35)</f>
        <v>0</v>
      </c>
      <c r="H36" s="7">
        <f>SUM(H34:H35)</f>
        <v>0</v>
      </c>
      <c r="I36" s="7"/>
      <c r="J36" s="7">
        <f>SUM(D36:H36)</f>
        <v>20947.16</v>
      </c>
      <c r="K36" s="1"/>
      <c r="L36" s="1"/>
    </row>
    <row r="37" spans="1:12">
      <c r="A37" s="1"/>
      <c r="B37" s="1"/>
      <c r="C37" s="1"/>
      <c r="D37" s="7"/>
      <c r="E37" s="7"/>
      <c r="F37" s="7"/>
      <c r="G37" s="7"/>
      <c r="H37" s="7"/>
      <c r="I37" s="7"/>
      <c r="J37" s="7"/>
      <c r="K37" s="1"/>
      <c r="L37" s="1"/>
    </row>
    <row r="38" spans="1:12">
      <c r="A38" s="1"/>
      <c r="B38" s="1"/>
      <c r="C38" s="1"/>
      <c r="D38" s="7"/>
      <c r="E38" s="7"/>
      <c r="F38" s="7"/>
      <c r="G38" s="7"/>
      <c r="H38" s="7"/>
      <c r="I38" s="7"/>
      <c r="J38" s="7"/>
      <c r="K38" s="1"/>
      <c r="L38" s="1"/>
    </row>
    <row r="39" spans="1:12">
      <c r="A39" s="1"/>
      <c r="B39" s="1"/>
      <c r="C39" s="1"/>
      <c r="D39" s="7"/>
      <c r="E39" s="7"/>
      <c r="F39" s="7"/>
      <c r="G39" s="7"/>
      <c r="H39" s="7"/>
      <c r="I39" s="7"/>
      <c r="J39" s="7"/>
      <c r="K39" s="1"/>
      <c r="L39" s="1"/>
    </row>
    <row r="40" spans="1:12">
      <c r="A40" s="1">
        <v>26</v>
      </c>
      <c r="B40" s="1" t="s">
        <v>19</v>
      </c>
      <c r="C40" s="1" t="s">
        <v>12</v>
      </c>
      <c r="D40" s="7">
        <v>10351.780000000001</v>
      </c>
      <c r="E40" s="7">
        <v>35.700000000000003</v>
      </c>
      <c r="F40" s="7">
        <v>0</v>
      </c>
      <c r="G40" s="7">
        <v>0</v>
      </c>
      <c r="H40" s="7">
        <v>0</v>
      </c>
      <c r="I40" s="7"/>
      <c r="J40" s="7">
        <f>SUM(D40:H40)</f>
        <v>10387.480000000001</v>
      </c>
      <c r="K40" s="1"/>
      <c r="L40" s="1"/>
    </row>
    <row r="41" spans="1:12">
      <c r="A41" s="1"/>
      <c r="B41" s="1"/>
      <c r="C41" s="1" t="s">
        <v>13</v>
      </c>
      <c r="D41" s="7">
        <v>263.36</v>
      </c>
      <c r="E41" s="7">
        <v>0.8</v>
      </c>
      <c r="F41" s="7">
        <v>0</v>
      </c>
      <c r="G41" s="7">
        <v>0</v>
      </c>
      <c r="H41" s="7"/>
      <c r="I41" s="7"/>
      <c r="J41" s="7">
        <f>SUM(D41:H41)</f>
        <v>264.16000000000003</v>
      </c>
      <c r="K41" s="1"/>
      <c r="L41" s="1"/>
    </row>
    <row r="42" spans="1:12">
      <c r="A42" s="1"/>
      <c r="B42" s="1"/>
      <c r="C42" s="1" t="s">
        <v>10</v>
      </c>
      <c r="D42" s="7">
        <f>SUM(D40:D41)</f>
        <v>10615.140000000001</v>
      </c>
      <c r="E42" s="7">
        <f>SUM(E40:E41)</f>
        <v>36.5</v>
      </c>
      <c r="F42" s="7">
        <f>SUM(F40:F41)</f>
        <v>0</v>
      </c>
      <c r="G42" s="7">
        <f>SUM(G40:G41)</f>
        <v>0</v>
      </c>
      <c r="H42" s="7">
        <f>SUM(H40:H41)</f>
        <v>0</v>
      </c>
      <c r="I42" s="7"/>
      <c r="J42" s="7">
        <f>SUM(D42:H42)</f>
        <v>10651.640000000001</v>
      </c>
      <c r="K42" s="1"/>
      <c r="L42" s="1"/>
    </row>
    <row r="43" spans="1:12">
      <c r="A43" s="1"/>
      <c r="B43" s="1"/>
      <c r="C43" s="1"/>
      <c r="D43" s="7"/>
      <c r="E43" s="7"/>
      <c r="F43" s="7"/>
      <c r="G43" s="7"/>
      <c r="H43" s="7"/>
      <c r="I43" s="7"/>
      <c r="J43" s="7"/>
      <c r="K43" s="1"/>
      <c r="L43" s="1"/>
    </row>
    <row r="44" spans="1:12">
      <c r="A44" s="1"/>
      <c r="B44" s="1"/>
      <c r="C44" s="1"/>
      <c r="D44" s="7"/>
      <c r="E44" s="7"/>
      <c r="F44" s="7"/>
      <c r="G44" s="7"/>
      <c r="H44" s="7"/>
      <c r="I44" s="7"/>
      <c r="J44" s="7"/>
      <c r="K44" s="1"/>
      <c r="L44" s="1"/>
    </row>
    <row r="45" spans="1:12">
      <c r="A45" s="1">
        <v>27</v>
      </c>
      <c r="B45" s="1" t="s">
        <v>20</v>
      </c>
      <c r="C45" s="1" t="s">
        <v>12</v>
      </c>
      <c r="D45" s="7">
        <v>12229.65</v>
      </c>
      <c r="E45" s="7">
        <v>172.27</v>
      </c>
      <c r="F45" s="7">
        <v>0</v>
      </c>
      <c r="G45" s="7">
        <v>0</v>
      </c>
      <c r="H45" s="7">
        <v>0</v>
      </c>
      <c r="I45" s="7"/>
      <c r="J45" s="7">
        <f>SUM(D45:H45)</f>
        <v>12401.92</v>
      </c>
      <c r="K45" s="1"/>
      <c r="L45" s="1"/>
    </row>
    <row r="46" spans="1:12">
      <c r="A46" s="1"/>
      <c r="B46" s="1"/>
      <c r="C46" s="1"/>
      <c r="D46" s="7"/>
      <c r="E46" s="7"/>
      <c r="F46" s="7"/>
      <c r="G46" s="7"/>
      <c r="H46" s="7"/>
      <c r="I46" s="7"/>
      <c r="J46" s="7">
        <f>SUM(D46:H46)</f>
        <v>0</v>
      </c>
      <c r="K46" s="1"/>
      <c r="L46" s="1"/>
    </row>
    <row r="47" spans="1:12">
      <c r="A47" s="1"/>
      <c r="B47" s="1"/>
      <c r="C47" s="1" t="s">
        <v>10</v>
      </c>
      <c r="D47" s="1">
        <f>SUM(D45:D46)</f>
        <v>12229.65</v>
      </c>
      <c r="E47" s="1">
        <f>SUM(E45:E46)</f>
        <v>172.27</v>
      </c>
      <c r="F47" s="1">
        <f>SUM(F45:F46)</f>
        <v>0</v>
      </c>
      <c r="G47" s="1">
        <f>SUM(G45:G46)</f>
        <v>0</v>
      </c>
      <c r="H47" s="1">
        <f>SUM(H45:H46)</f>
        <v>0</v>
      </c>
      <c r="I47" s="1"/>
      <c r="J47" s="7">
        <f>SUM(D47:H47)</f>
        <v>12401.92</v>
      </c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7"/>
      <c r="K48" s="1"/>
      <c r="L48" s="1"/>
    </row>
    <row r="49" spans="1:12">
      <c r="A49" s="1"/>
      <c r="B49" s="1"/>
      <c r="C49" s="1"/>
      <c r="D49" s="7"/>
      <c r="E49" s="7"/>
      <c r="F49" s="7"/>
      <c r="G49" s="7"/>
      <c r="H49" s="7"/>
      <c r="I49" s="7"/>
      <c r="J49" s="7"/>
      <c r="K49" s="1"/>
      <c r="L49" s="1"/>
    </row>
    <row r="50" spans="1:12">
      <c r="A50" s="1"/>
      <c r="B50" s="1"/>
      <c r="C50" s="1"/>
      <c r="D50" s="7"/>
      <c r="E50" s="7"/>
      <c r="F50" s="7"/>
      <c r="G50" s="7"/>
      <c r="H50" s="7"/>
      <c r="I50" s="7"/>
      <c r="J50" s="7"/>
      <c r="K50" s="1"/>
      <c r="L50" s="1"/>
    </row>
    <row r="51" spans="1:12">
      <c r="A51" s="1"/>
      <c r="B51" s="1"/>
      <c r="C51" s="1"/>
      <c r="D51" s="7"/>
      <c r="E51" s="7"/>
      <c r="F51" s="7"/>
      <c r="G51" s="7"/>
      <c r="H51" s="7"/>
      <c r="I51" s="7"/>
      <c r="J51" s="7"/>
      <c r="K51" s="1"/>
      <c r="L51" s="1"/>
    </row>
    <row r="52" spans="1:12">
      <c r="A52" s="1">
        <v>28</v>
      </c>
      <c r="B52" s="1" t="s">
        <v>21</v>
      </c>
      <c r="C52" s="1" t="s">
        <v>12</v>
      </c>
      <c r="D52" s="7">
        <v>9050.9599999999991</v>
      </c>
      <c r="E52" s="7">
        <v>0</v>
      </c>
      <c r="F52" s="7">
        <v>0</v>
      </c>
      <c r="G52" s="7">
        <v>0</v>
      </c>
      <c r="H52" s="7">
        <v>0</v>
      </c>
      <c r="I52" s="7"/>
      <c r="J52" s="7">
        <f>SUM(D52:H52)</f>
        <v>9050.9599999999991</v>
      </c>
      <c r="K52" s="1"/>
      <c r="L52" s="1"/>
    </row>
    <row r="53" spans="1:12">
      <c r="A53" s="1"/>
      <c r="B53" s="1"/>
      <c r="C53" s="1" t="s">
        <v>13</v>
      </c>
      <c r="D53" s="7">
        <v>311.76</v>
      </c>
      <c r="E53" s="7">
        <v>0</v>
      </c>
      <c r="F53" s="7">
        <v>0</v>
      </c>
      <c r="G53" s="7">
        <v>0</v>
      </c>
      <c r="H53" s="7">
        <v>0</v>
      </c>
      <c r="I53" s="7"/>
      <c r="J53" s="7">
        <f>SUM(D53:H53)</f>
        <v>311.76</v>
      </c>
      <c r="K53" s="1"/>
      <c r="L53" s="1"/>
    </row>
    <row r="54" spans="1:12">
      <c r="A54" s="1"/>
      <c r="B54" s="1"/>
      <c r="C54" s="1" t="s">
        <v>10</v>
      </c>
      <c r="D54" s="7">
        <f>SUM(D52:D53)</f>
        <v>9362.7199999999993</v>
      </c>
      <c r="E54" s="7">
        <f>SUM(E52:E53)</f>
        <v>0</v>
      </c>
      <c r="F54" s="7">
        <f>SUM(F52:F53)</f>
        <v>0</v>
      </c>
      <c r="G54" s="7">
        <f>SUM(G52:G53)</f>
        <v>0</v>
      </c>
      <c r="H54" s="7">
        <f>SUM(H52:H53)</f>
        <v>0</v>
      </c>
      <c r="I54" s="7"/>
      <c r="J54" s="7">
        <f>SUM(D54:H54)</f>
        <v>9362.7199999999993</v>
      </c>
      <c r="K54" s="1"/>
      <c r="L54" s="1"/>
    </row>
    <row r="55" spans="1:12">
      <c r="A55" s="1"/>
      <c r="B55" s="1"/>
      <c r="C55" s="1"/>
      <c r="D55" s="7"/>
      <c r="E55" s="7"/>
      <c r="F55" s="7"/>
      <c r="G55" s="7"/>
      <c r="H55" s="7"/>
      <c r="I55" s="7"/>
      <c r="J55" s="7"/>
      <c r="K55" s="1"/>
      <c r="L55" s="1"/>
    </row>
    <row r="56" spans="1:12">
      <c r="A56" s="1"/>
      <c r="B56" s="1"/>
      <c r="C56" s="1"/>
      <c r="D56" s="7"/>
      <c r="E56" s="7"/>
      <c r="F56" s="7"/>
      <c r="G56" s="7"/>
      <c r="H56" s="7"/>
      <c r="I56" s="7"/>
      <c r="J56" s="7"/>
      <c r="K56" s="1"/>
      <c r="L56" s="1"/>
    </row>
    <row r="57" spans="1:12">
      <c r="A57" s="1">
        <v>29</v>
      </c>
      <c r="B57" s="1" t="s">
        <v>22</v>
      </c>
      <c r="C57" s="1" t="s">
        <v>12</v>
      </c>
      <c r="D57" s="7">
        <v>16245.5</v>
      </c>
      <c r="E57" s="7">
        <v>64.61</v>
      </c>
      <c r="F57" s="7">
        <v>59.24</v>
      </c>
      <c r="G57" s="7">
        <v>0</v>
      </c>
      <c r="H57" s="7">
        <v>0</v>
      </c>
      <c r="I57" s="7"/>
      <c r="J57" s="7">
        <f>SUM(D57:H57)</f>
        <v>16369.35</v>
      </c>
      <c r="K57" s="1"/>
      <c r="L57" s="1"/>
    </row>
    <row r="58" spans="1:12">
      <c r="A58" s="1"/>
      <c r="B58" s="1"/>
      <c r="C58" s="1" t="s">
        <v>13</v>
      </c>
      <c r="D58" s="7">
        <v>968.96</v>
      </c>
      <c r="E58" s="7">
        <v>2.56</v>
      </c>
      <c r="F58" s="7">
        <v>2.62</v>
      </c>
      <c r="G58" s="7">
        <v>0</v>
      </c>
      <c r="H58" s="7">
        <v>0</v>
      </c>
      <c r="I58" s="7"/>
      <c r="J58" s="7">
        <f>SUM(D58:H58)</f>
        <v>974.14</v>
      </c>
      <c r="K58" s="1"/>
      <c r="L58" s="1"/>
    </row>
    <row r="59" spans="1:12">
      <c r="A59" s="1"/>
      <c r="B59" s="1"/>
      <c r="C59" s="1" t="s">
        <v>10</v>
      </c>
      <c r="D59" s="7">
        <f>SUM(D57:D58)</f>
        <v>17214.46</v>
      </c>
      <c r="E59" s="7">
        <f>SUM(E57:E58)</f>
        <v>67.17</v>
      </c>
      <c r="F59" s="7">
        <f>SUM(F57:F58)</f>
        <v>61.86</v>
      </c>
      <c r="G59" s="7">
        <f>SUM(G57:G58)</f>
        <v>0</v>
      </c>
      <c r="H59" s="7">
        <f>SUM(H57:H58)</f>
        <v>0</v>
      </c>
      <c r="I59" s="7"/>
      <c r="J59" s="7">
        <f>SUM(D59:H59)</f>
        <v>17343.489999999998</v>
      </c>
      <c r="K59" s="1"/>
      <c r="L59" s="1"/>
    </row>
    <row r="60" spans="1:12">
      <c r="A60" s="1"/>
      <c r="B60" s="1"/>
      <c r="C60" s="1"/>
      <c r="D60" s="7"/>
      <c r="E60" s="7"/>
      <c r="F60" s="7"/>
      <c r="G60" s="7"/>
      <c r="H60" s="7"/>
      <c r="I60" s="7"/>
      <c r="J60" s="7"/>
      <c r="K60" s="1"/>
      <c r="L60" s="1"/>
    </row>
    <row r="61" spans="1:12">
      <c r="A61" s="1"/>
      <c r="B61" s="1"/>
      <c r="C61" s="1"/>
      <c r="D61" s="7"/>
      <c r="E61" s="7"/>
      <c r="F61" s="7"/>
      <c r="G61" s="7"/>
      <c r="H61" s="7"/>
      <c r="I61" s="7"/>
      <c r="J61" s="7"/>
      <c r="K61" s="1"/>
      <c r="L61" s="1"/>
    </row>
    <row r="62" spans="1:12">
      <c r="A62" s="1"/>
      <c r="B62" s="1"/>
      <c r="C62" s="1"/>
      <c r="D62" s="7"/>
      <c r="E62" s="7"/>
      <c r="F62" s="7"/>
      <c r="G62" s="7"/>
      <c r="H62" s="7"/>
      <c r="I62" s="7"/>
      <c r="J62" s="7"/>
      <c r="K62" s="1"/>
      <c r="L62" s="1"/>
    </row>
    <row r="63" spans="1:12">
      <c r="A63" s="1">
        <v>30</v>
      </c>
      <c r="B63" s="1" t="s">
        <v>23</v>
      </c>
      <c r="C63" s="1" t="s">
        <v>12</v>
      </c>
      <c r="D63" s="7">
        <v>6391.05</v>
      </c>
      <c r="E63" s="7">
        <v>128.21</v>
      </c>
      <c r="F63" s="7">
        <v>0</v>
      </c>
      <c r="G63" s="7">
        <v>0</v>
      </c>
      <c r="H63" s="7">
        <v>0</v>
      </c>
      <c r="I63" s="7"/>
      <c r="J63" s="7">
        <f>SUM(D63:H63)</f>
        <v>6519.26</v>
      </c>
      <c r="K63" s="1"/>
      <c r="L63" s="1"/>
    </row>
    <row r="64" spans="1:12">
      <c r="A64" s="1"/>
      <c r="B64" s="1"/>
      <c r="C64" s="1" t="s">
        <v>13</v>
      </c>
      <c r="D64" s="7">
        <v>323.87</v>
      </c>
      <c r="E64" s="7">
        <v>6.32</v>
      </c>
      <c r="F64" s="7">
        <v>0</v>
      </c>
      <c r="G64" s="7">
        <v>0</v>
      </c>
      <c r="H64" s="7">
        <v>0</v>
      </c>
      <c r="I64" s="7"/>
      <c r="J64" s="7">
        <f>SUM(D64:H64)</f>
        <v>330.19</v>
      </c>
      <c r="K64" s="1"/>
      <c r="L64" s="1"/>
    </row>
    <row r="65" spans="1:12">
      <c r="A65" s="1"/>
      <c r="B65" s="1"/>
      <c r="C65" s="1" t="s">
        <v>10</v>
      </c>
      <c r="D65" s="7">
        <f>SUM(D63:D64)</f>
        <v>6714.92</v>
      </c>
      <c r="E65" s="7">
        <f>SUM(E63:E64)</f>
        <v>134.53</v>
      </c>
      <c r="F65" s="7">
        <f>SUM(F63:F64)</f>
        <v>0</v>
      </c>
      <c r="G65" s="7">
        <f>SUM(G63:G64)</f>
        <v>0</v>
      </c>
      <c r="H65" s="7">
        <f>SUM(H63:H64)</f>
        <v>0</v>
      </c>
      <c r="I65" s="7"/>
      <c r="J65" s="7">
        <f>SUM(D65:H65)</f>
        <v>6849.45</v>
      </c>
      <c r="K65" s="1"/>
      <c r="L65" s="1"/>
    </row>
    <row r="66" spans="1:12">
      <c r="A66" s="1"/>
      <c r="B66" s="1"/>
      <c r="C66" s="1"/>
      <c r="D66" s="7"/>
      <c r="E66" s="7"/>
      <c r="F66" s="7"/>
      <c r="G66" s="7"/>
      <c r="H66" s="7"/>
      <c r="I66" s="7"/>
      <c r="J66" s="7"/>
      <c r="K66" s="1"/>
      <c r="L66" s="1"/>
    </row>
    <row r="67" spans="1:12">
      <c r="A67" s="1"/>
      <c r="B67" s="1"/>
      <c r="C67" s="1"/>
      <c r="D67" s="7"/>
      <c r="E67" s="7"/>
      <c r="F67" s="7"/>
      <c r="G67" s="7"/>
      <c r="H67" s="7"/>
      <c r="I67" s="7"/>
      <c r="J67" s="7"/>
      <c r="K67" s="1"/>
      <c r="L67" s="1"/>
    </row>
    <row r="68" spans="1:12">
      <c r="A68" s="1">
        <v>31</v>
      </c>
      <c r="B68" s="1" t="s">
        <v>24</v>
      </c>
      <c r="C68" s="1" t="s">
        <v>12</v>
      </c>
      <c r="D68" s="7">
        <v>4768.37</v>
      </c>
      <c r="E68" s="7">
        <v>193.7</v>
      </c>
      <c r="F68" s="7">
        <v>0</v>
      </c>
      <c r="G68" s="7">
        <v>0</v>
      </c>
      <c r="H68" s="7">
        <v>0</v>
      </c>
      <c r="I68" s="7"/>
      <c r="J68" s="7">
        <f>SUM(D68:H68)</f>
        <v>4962.07</v>
      </c>
      <c r="K68" s="1"/>
      <c r="L68" s="1"/>
    </row>
    <row r="69" spans="1:12">
      <c r="A69" s="1"/>
      <c r="B69" s="1"/>
      <c r="C69" s="1" t="s">
        <v>13</v>
      </c>
      <c r="D69" s="7">
        <v>192.04</v>
      </c>
      <c r="E69" s="7">
        <v>6.62</v>
      </c>
      <c r="F69" s="7">
        <v>0</v>
      </c>
      <c r="G69" s="7">
        <v>0</v>
      </c>
      <c r="H69" s="7">
        <v>0</v>
      </c>
      <c r="I69" s="7"/>
      <c r="J69" s="7">
        <f>SUM(D69:H69)</f>
        <v>198.66</v>
      </c>
      <c r="K69" s="1"/>
      <c r="L69" s="1"/>
    </row>
    <row r="70" spans="1:12">
      <c r="A70" s="1"/>
      <c r="B70" s="1"/>
      <c r="C70" s="1" t="s">
        <v>10</v>
      </c>
      <c r="D70" s="7">
        <f>SUM(D68:D69)</f>
        <v>4960.41</v>
      </c>
      <c r="E70" s="7">
        <f>SUM(E68:E69)</f>
        <v>200.32</v>
      </c>
      <c r="F70" s="7">
        <f>SUM(F68:F69)</f>
        <v>0</v>
      </c>
      <c r="G70" s="7">
        <f>SUM(G68:G69)</f>
        <v>0</v>
      </c>
      <c r="H70" s="7">
        <f>SUM(H68:H69)</f>
        <v>0</v>
      </c>
      <c r="I70" s="7"/>
      <c r="J70" s="7">
        <f>SUM(D70:H70)</f>
        <v>5160.7299999999996</v>
      </c>
      <c r="K70" s="1"/>
      <c r="L70" s="1"/>
    </row>
    <row r="71" spans="1:12">
      <c r="A71" s="1"/>
      <c r="B71" s="1"/>
      <c r="C71" s="1"/>
      <c r="D71" s="7"/>
      <c r="E71" s="7"/>
      <c r="F71" s="7"/>
      <c r="G71" s="7"/>
      <c r="H71" s="7"/>
      <c r="I71" s="7"/>
      <c r="J71" s="7"/>
      <c r="K71" s="1"/>
      <c r="L71" s="1"/>
    </row>
    <row r="72" spans="1:12">
      <c r="A72" s="1"/>
      <c r="B72" s="1"/>
      <c r="C72" s="1"/>
      <c r="D72" s="7"/>
      <c r="E72" s="7"/>
      <c r="F72" s="7"/>
      <c r="G72" s="7"/>
      <c r="H72" s="7"/>
      <c r="I72" s="7"/>
      <c r="J72" s="7"/>
      <c r="K72" s="1"/>
      <c r="L72" s="1"/>
    </row>
    <row r="73" spans="1:12">
      <c r="A73" s="1">
        <v>32</v>
      </c>
      <c r="B73" s="1" t="s">
        <v>25</v>
      </c>
      <c r="C73" s="1" t="s">
        <v>12</v>
      </c>
      <c r="D73" s="7">
        <v>10595.84</v>
      </c>
      <c r="E73" s="7">
        <v>37.5</v>
      </c>
      <c r="F73" s="7">
        <v>0</v>
      </c>
      <c r="G73" s="7">
        <v>0</v>
      </c>
      <c r="H73" s="7">
        <v>0</v>
      </c>
      <c r="I73" s="7"/>
      <c r="J73" s="7">
        <f>SUM(D73:H73)</f>
        <v>10633.34</v>
      </c>
      <c r="K73" s="1"/>
      <c r="L73" s="1"/>
    </row>
    <row r="74" spans="1:12">
      <c r="A74" s="1"/>
      <c r="B74" s="1"/>
      <c r="C74" s="1" t="s">
        <v>13</v>
      </c>
      <c r="D74" s="7">
        <v>269.85000000000002</v>
      </c>
      <c r="E74" s="7">
        <v>1.1100000000000001</v>
      </c>
      <c r="F74" s="7">
        <v>0</v>
      </c>
      <c r="G74" s="7">
        <v>0</v>
      </c>
      <c r="H74" s="7">
        <v>0</v>
      </c>
      <c r="I74" s="7"/>
      <c r="J74" s="7">
        <f>SUM(D74:H74)</f>
        <v>270.96000000000004</v>
      </c>
      <c r="K74" s="1"/>
      <c r="L74" s="1"/>
    </row>
    <row r="75" spans="1:12">
      <c r="A75" s="1"/>
      <c r="B75" s="1"/>
      <c r="C75" s="1" t="s">
        <v>73</v>
      </c>
      <c r="D75" s="7">
        <v>1108.3800000000001</v>
      </c>
      <c r="E75" s="7"/>
      <c r="F75" s="7"/>
      <c r="G75" s="7"/>
      <c r="H75" s="7"/>
      <c r="I75" s="7"/>
      <c r="J75" s="7">
        <f>SUM(D75:H75)</f>
        <v>1108.3800000000001</v>
      </c>
      <c r="K75" s="1"/>
      <c r="L75" s="1"/>
    </row>
    <row r="76" spans="1:12">
      <c r="A76" s="1"/>
      <c r="B76" s="1"/>
      <c r="C76" s="1" t="s">
        <v>10</v>
      </c>
      <c r="D76" s="7">
        <f>SUM(D73:D75)</f>
        <v>11974.07</v>
      </c>
      <c r="E76" s="7">
        <f>SUM(E73:E75)</f>
        <v>38.61</v>
      </c>
      <c r="F76" s="7">
        <f>SUM(F73:F75)</f>
        <v>0</v>
      </c>
      <c r="G76" s="7">
        <f>SUM(G73:G75)</f>
        <v>0</v>
      </c>
      <c r="H76" s="7">
        <f>SUM(H73:H75)</f>
        <v>0</v>
      </c>
      <c r="I76" s="7"/>
      <c r="J76" s="7">
        <f>SUM(D76:H76)</f>
        <v>12012.68</v>
      </c>
      <c r="K76" s="1"/>
      <c r="L76" s="1"/>
    </row>
    <row r="77" spans="1:12">
      <c r="A77" s="1"/>
      <c r="B77" s="1"/>
      <c r="C77" s="1"/>
      <c r="D77" s="7"/>
      <c r="E77" s="7"/>
      <c r="F77" s="7"/>
      <c r="G77" s="7"/>
      <c r="H77" s="7"/>
      <c r="I77" s="7"/>
      <c r="J77" s="7"/>
      <c r="K77" s="1"/>
      <c r="L77" s="1"/>
    </row>
    <row r="78" spans="1:12">
      <c r="A78" s="1"/>
      <c r="B78" s="1"/>
      <c r="C78" s="1"/>
      <c r="D78" s="1"/>
      <c r="E78" s="1"/>
      <c r="F78" s="1"/>
      <c r="G78" s="1"/>
      <c r="H78" s="1"/>
      <c r="I78" s="1"/>
      <c r="J78" s="7"/>
      <c r="K78" s="1"/>
      <c r="L78" s="1"/>
    </row>
    <row r="79" spans="1:12">
      <c r="A79" s="1">
        <v>33</v>
      </c>
      <c r="B79" s="1" t="s">
        <v>26</v>
      </c>
      <c r="C79" s="1" t="s">
        <v>12</v>
      </c>
      <c r="D79" s="1">
        <v>13837.56</v>
      </c>
      <c r="E79" s="1">
        <v>300.57</v>
      </c>
      <c r="F79" s="1">
        <v>160.38999999999999</v>
      </c>
      <c r="G79" s="1">
        <v>0</v>
      </c>
      <c r="H79" s="1">
        <v>0</v>
      </c>
      <c r="I79" s="1"/>
      <c r="J79" s="7">
        <f>SUM(D79:H79)</f>
        <v>14298.519999999999</v>
      </c>
      <c r="K79" s="1"/>
      <c r="L79" s="1"/>
    </row>
    <row r="80" spans="1:12">
      <c r="A80" s="1"/>
      <c r="B80" s="1"/>
      <c r="C80" s="1" t="s">
        <v>13</v>
      </c>
      <c r="D80" s="1">
        <v>171.73</v>
      </c>
      <c r="E80" s="1">
        <v>4.0199999999999996</v>
      </c>
      <c r="F80" s="1">
        <v>2.35</v>
      </c>
      <c r="G80" s="1">
        <v>0</v>
      </c>
      <c r="H80" s="1">
        <v>0</v>
      </c>
      <c r="I80" s="1"/>
      <c r="J80" s="7">
        <f>SUM(D80:H80)</f>
        <v>178.1</v>
      </c>
      <c r="K80" s="1"/>
      <c r="L80" s="1"/>
    </row>
    <row r="81" spans="1:12">
      <c r="A81" s="1"/>
      <c r="B81" s="1"/>
      <c r="C81" s="1" t="s">
        <v>10</v>
      </c>
      <c r="D81" s="7">
        <f>SUM(D79:D80)</f>
        <v>14009.289999999999</v>
      </c>
      <c r="E81" s="7">
        <f>SUM(E79:E80)</f>
        <v>304.58999999999997</v>
      </c>
      <c r="F81" s="7">
        <f>SUM(F79:F80)</f>
        <v>162.73999999999998</v>
      </c>
      <c r="G81" s="7">
        <f>SUM(G79:G80)</f>
        <v>0</v>
      </c>
      <c r="H81" s="7">
        <f>SUM(H79:H80)</f>
        <v>0</v>
      </c>
      <c r="I81" s="7"/>
      <c r="J81" s="7">
        <f>SUM(D81:H81)</f>
        <v>14476.619999999999</v>
      </c>
      <c r="K81" s="1"/>
      <c r="L81" s="1"/>
    </row>
    <row r="82" spans="1:12">
      <c r="A82" s="1"/>
      <c r="B82" s="1"/>
      <c r="C82" s="1"/>
      <c r="D82" s="7"/>
      <c r="E82" s="7"/>
      <c r="F82" s="7"/>
      <c r="G82" s="7"/>
      <c r="H82" s="7"/>
      <c r="I82" s="7"/>
      <c r="J82" s="7"/>
      <c r="K82" s="1"/>
      <c r="L82" s="1"/>
    </row>
    <row r="83" spans="1:12">
      <c r="A83" s="1"/>
      <c r="B83" s="1"/>
      <c r="C83" s="1"/>
      <c r="D83" s="7"/>
      <c r="E83" s="7"/>
      <c r="F83" s="7"/>
      <c r="G83" s="7"/>
      <c r="H83" s="7"/>
      <c r="I83" s="7"/>
      <c r="J83" s="7"/>
      <c r="K83" s="1"/>
      <c r="L83" s="1"/>
    </row>
    <row r="84" spans="1:12">
      <c r="A84" s="1">
        <v>34</v>
      </c>
      <c r="B84" s="1" t="s">
        <v>27</v>
      </c>
      <c r="C84" s="1" t="s">
        <v>12</v>
      </c>
      <c r="D84" s="7">
        <v>10085.24</v>
      </c>
      <c r="E84" s="7">
        <v>428.15</v>
      </c>
      <c r="F84" s="7">
        <v>360.54</v>
      </c>
      <c r="G84" s="7">
        <v>150.47999999999999</v>
      </c>
      <c r="H84" s="7">
        <v>0</v>
      </c>
      <c r="I84" s="7"/>
      <c r="J84" s="7">
        <f>SUM(D84:H84)</f>
        <v>11024.41</v>
      </c>
      <c r="K84" s="1"/>
      <c r="L84" s="1"/>
    </row>
    <row r="85" spans="1:12">
      <c r="A85" s="1"/>
      <c r="B85" s="1"/>
      <c r="C85" s="1" t="s">
        <v>13</v>
      </c>
      <c r="D85" s="7">
        <v>784.01</v>
      </c>
      <c r="E85" s="7">
        <v>22.09</v>
      </c>
      <c r="F85" s="7">
        <v>18.3</v>
      </c>
      <c r="G85" s="7">
        <v>15.08</v>
      </c>
      <c r="H85" s="7">
        <v>0</v>
      </c>
      <c r="I85" s="7"/>
      <c r="J85" s="7">
        <f>SUM(D85:H85)</f>
        <v>839.48</v>
      </c>
      <c r="K85" s="1"/>
      <c r="L85" s="1"/>
    </row>
    <row r="86" spans="1:12">
      <c r="A86" s="1"/>
      <c r="B86" s="1"/>
      <c r="C86" s="1" t="s">
        <v>10</v>
      </c>
      <c r="D86" s="7">
        <f>SUM(D84:D85)</f>
        <v>10869.25</v>
      </c>
      <c r="E86" s="7">
        <f>SUM(E84:E85)</f>
        <v>450.23999999999995</v>
      </c>
      <c r="F86" s="7">
        <f>SUM(F84:F85)</f>
        <v>378.84000000000003</v>
      </c>
      <c r="G86" s="7">
        <f>SUM(G84:G85)</f>
        <v>165.56</v>
      </c>
      <c r="H86" s="7">
        <f>SUM(H84:H85)</f>
        <v>0</v>
      </c>
      <c r="I86" s="7"/>
      <c r="J86" s="7">
        <f>SUM(D86:H86)</f>
        <v>11863.89</v>
      </c>
      <c r="K86" s="1"/>
      <c r="L86" s="1"/>
    </row>
    <row r="87" spans="1:12">
      <c r="A87" s="1"/>
      <c r="B87" s="1"/>
      <c r="C87" s="1"/>
      <c r="D87" s="7"/>
      <c r="E87" s="7"/>
      <c r="F87" s="7"/>
      <c r="G87" s="7"/>
      <c r="H87" s="7"/>
      <c r="I87" s="7"/>
      <c r="J87" s="7"/>
      <c r="K87" s="1"/>
      <c r="L87" s="1"/>
    </row>
    <row r="88" spans="1:12">
      <c r="A88" s="1"/>
      <c r="B88" s="1"/>
      <c r="C88" s="1"/>
      <c r="D88" s="7"/>
      <c r="E88" s="7"/>
      <c r="F88" s="7"/>
      <c r="G88" s="7"/>
      <c r="H88" s="7"/>
      <c r="I88" s="7"/>
      <c r="J88" s="7"/>
      <c r="K88" s="1"/>
      <c r="L88" s="1"/>
    </row>
    <row r="89" spans="1:12">
      <c r="A89" s="1">
        <v>35</v>
      </c>
      <c r="B89" s="1" t="s">
        <v>28</v>
      </c>
      <c r="C89" s="1" t="s">
        <v>12</v>
      </c>
      <c r="D89" s="7">
        <v>9429.16</v>
      </c>
      <c r="E89" s="7">
        <v>350.18</v>
      </c>
      <c r="F89" s="7">
        <v>178.8</v>
      </c>
      <c r="G89" s="7">
        <v>140.5</v>
      </c>
      <c r="H89" s="7">
        <v>0</v>
      </c>
      <c r="I89" s="7"/>
      <c r="J89" s="7">
        <f>SUM(D89:H89)</f>
        <v>10098.64</v>
      </c>
      <c r="K89" s="1"/>
      <c r="L89" s="1"/>
    </row>
    <row r="90" spans="1:12">
      <c r="A90" s="1"/>
      <c r="B90" s="1"/>
      <c r="C90" s="1"/>
      <c r="D90" s="7"/>
      <c r="E90" s="7"/>
      <c r="F90" s="7"/>
      <c r="G90" s="7"/>
      <c r="H90" s="7" t="s">
        <v>70</v>
      </c>
      <c r="I90" s="7"/>
      <c r="J90" s="7">
        <f>SUM(D90:H90)</f>
        <v>0</v>
      </c>
      <c r="K90" s="1"/>
      <c r="L90" s="1"/>
    </row>
    <row r="91" spans="1:12">
      <c r="A91" s="1"/>
      <c r="B91" s="1"/>
      <c r="C91" s="1" t="s">
        <v>10</v>
      </c>
      <c r="D91" s="7">
        <f>SUM(D89:D90)</f>
        <v>9429.16</v>
      </c>
      <c r="E91" s="7">
        <f>SUM(E89:E90)</f>
        <v>350.18</v>
      </c>
      <c r="F91" s="7">
        <f>SUM(F89:F90)</f>
        <v>178.8</v>
      </c>
      <c r="G91" s="7">
        <f>SUM(G89:G90)</f>
        <v>140.5</v>
      </c>
      <c r="H91" s="7">
        <f>SUM(H89:H90)</f>
        <v>0</v>
      </c>
      <c r="I91" s="7"/>
      <c r="J91" s="7">
        <f>SUM(D91:H91)</f>
        <v>10098.64</v>
      </c>
      <c r="K91" s="1"/>
      <c r="L91" s="1"/>
    </row>
    <row r="92" spans="1:12">
      <c r="A92" s="1"/>
      <c r="B92" s="1"/>
      <c r="C92" s="1"/>
      <c r="D92" s="7"/>
      <c r="E92" s="7"/>
      <c r="F92" s="7"/>
      <c r="G92" s="7"/>
      <c r="H92" s="7"/>
      <c r="I92" s="7"/>
      <c r="J92" s="7"/>
      <c r="K92" s="1"/>
      <c r="L92" s="1"/>
    </row>
    <row r="93" spans="1:12">
      <c r="A93" s="1"/>
      <c r="B93" s="1"/>
      <c r="C93" s="1"/>
      <c r="D93" s="7"/>
      <c r="E93" s="7"/>
      <c r="F93" s="7"/>
      <c r="G93" s="7"/>
      <c r="H93" s="7"/>
      <c r="I93" s="7"/>
      <c r="J93" s="7"/>
      <c r="K93" s="1"/>
      <c r="L93" s="1"/>
    </row>
    <row r="94" spans="1:12">
      <c r="A94" s="1">
        <v>36</v>
      </c>
      <c r="B94" s="1" t="s">
        <v>29</v>
      </c>
      <c r="C94" s="1" t="s">
        <v>12</v>
      </c>
      <c r="D94" s="7">
        <v>9994.5300000000007</v>
      </c>
      <c r="E94" s="7">
        <v>410.17</v>
      </c>
      <c r="F94" s="7">
        <v>147.97</v>
      </c>
      <c r="G94" s="7">
        <v>141.93</v>
      </c>
      <c r="H94" s="7">
        <v>136.72</v>
      </c>
      <c r="I94" s="7"/>
      <c r="J94" s="7">
        <f>SUM(D94:H94)</f>
        <v>10831.32</v>
      </c>
      <c r="K94" s="1"/>
      <c r="L94" s="1"/>
    </row>
    <row r="95" spans="1:12">
      <c r="A95" s="1"/>
      <c r="B95" s="1"/>
      <c r="C95" s="1" t="s">
        <v>13</v>
      </c>
      <c r="D95" s="7">
        <v>542.96</v>
      </c>
      <c r="E95" s="7">
        <v>14.87</v>
      </c>
      <c r="F95" s="7">
        <v>5.46</v>
      </c>
      <c r="G95" s="7">
        <v>11.7</v>
      </c>
      <c r="H95" s="7">
        <v>11.74</v>
      </c>
      <c r="I95" s="7"/>
      <c r="J95" s="7">
        <f>SUM(D95:H95)</f>
        <v>586.73000000000013</v>
      </c>
      <c r="K95" s="1"/>
      <c r="L95" s="1"/>
    </row>
    <row r="96" spans="1:12">
      <c r="A96" s="1"/>
      <c r="B96" s="1"/>
      <c r="C96" s="1" t="s">
        <v>10</v>
      </c>
      <c r="D96" s="7">
        <f>SUM(D94:D95)</f>
        <v>10537.490000000002</v>
      </c>
      <c r="E96" s="7">
        <f>SUM(E94:E95)</f>
        <v>425.04</v>
      </c>
      <c r="F96" s="7">
        <f>SUM(F94:F95)</f>
        <v>153.43</v>
      </c>
      <c r="G96" s="7">
        <f>SUM(G94:G95)</f>
        <v>153.63</v>
      </c>
      <c r="H96" s="7">
        <f>SUM(H94:H95)</f>
        <v>148.46</v>
      </c>
      <c r="I96" s="7"/>
      <c r="J96" s="7">
        <f>SUM(D96:H96)</f>
        <v>11418.050000000001</v>
      </c>
      <c r="K96" s="1"/>
      <c r="L96" s="1"/>
    </row>
    <row r="97" spans="1:12">
      <c r="A97" s="1"/>
      <c r="B97" s="1"/>
      <c r="C97" s="1"/>
      <c r="D97" s="7"/>
      <c r="E97" s="7"/>
      <c r="F97" s="7"/>
      <c r="G97" s="7"/>
      <c r="H97" s="7"/>
      <c r="I97" s="7"/>
      <c r="J97" s="7"/>
      <c r="K97" s="1"/>
      <c r="L97" s="1"/>
    </row>
    <row r="98" spans="1:12">
      <c r="A98" s="1"/>
      <c r="B98" s="1"/>
      <c r="C98" s="1"/>
      <c r="D98" s="7"/>
      <c r="E98" s="7"/>
      <c r="F98" s="7"/>
      <c r="G98" s="7"/>
      <c r="H98" s="7"/>
      <c r="I98" s="7"/>
      <c r="J98" s="7"/>
      <c r="K98" s="1"/>
      <c r="L98" s="1"/>
    </row>
    <row r="99" spans="1:12">
      <c r="A99" s="1">
        <v>37</v>
      </c>
      <c r="B99" s="1" t="s">
        <v>30</v>
      </c>
      <c r="C99" s="1" t="s">
        <v>12</v>
      </c>
      <c r="D99" s="7">
        <v>11023.2</v>
      </c>
      <c r="E99" s="7">
        <v>58.53</v>
      </c>
      <c r="F99" s="7">
        <v>16.989999999999998</v>
      </c>
      <c r="G99" s="7">
        <v>11.11</v>
      </c>
      <c r="H99" s="7">
        <v>6.74</v>
      </c>
      <c r="I99" s="7"/>
      <c r="J99" s="7">
        <f>SUM(D99:H99)</f>
        <v>11116.570000000002</v>
      </c>
      <c r="K99" s="1"/>
      <c r="L99" s="1"/>
    </row>
    <row r="100" spans="1:12">
      <c r="A100" s="1"/>
      <c r="B100" s="1"/>
      <c r="C100" s="1"/>
      <c r="D100" s="7"/>
      <c r="E100" s="7"/>
      <c r="F100" s="7"/>
      <c r="G100" s="7"/>
      <c r="H100" s="7"/>
      <c r="I100" s="7"/>
      <c r="J100" s="7">
        <f>SUM(D100:H100)</f>
        <v>0</v>
      </c>
      <c r="K100" s="1"/>
      <c r="L100" s="1"/>
    </row>
    <row r="101" spans="1:12">
      <c r="A101" s="1"/>
      <c r="B101" s="1"/>
      <c r="C101" s="1" t="s">
        <v>10</v>
      </c>
      <c r="D101" s="7">
        <f>SUM(D99:D100)</f>
        <v>11023.2</v>
      </c>
      <c r="E101" s="7">
        <f>SUM(E99:E100)</f>
        <v>58.53</v>
      </c>
      <c r="F101" s="7">
        <f>SUM(F99:F100)</f>
        <v>16.989999999999998</v>
      </c>
      <c r="G101" s="7">
        <f>SUM(G99:G100)</f>
        <v>11.11</v>
      </c>
      <c r="H101" s="7">
        <f>SUM(H99:H100)</f>
        <v>6.74</v>
      </c>
      <c r="I101" s="7"/>
      <c r="J101" s="7">
        <f>SUM(D101:H101)</f>
        <v>11116.570000000002</v>
      </c>
      <c r="K101" s="1"/>
      <c r="L101" s="1"/>
    </row>
    <row r="102" spans="1:12">
      <c r="A102" s="1"/>
      <c r="B102" s="1"/>
      <c r="C102" s="1"/>
      <c r="D102" s="7"/>
      <c r="E102" s="7"/>
      <c r="F102" s="7"/>
      <c r="G102" s="7"/>
      <c r="H102" s="7" t="s">
        <v>70</v>
      </c>
      <c r="I102" s="7"/>
      <c r="J102" s="7"/>
      <c r="K102" s="1"/>
      <c r="L102" s="1"/>
    </row>
    <row r="103" spans="1:12">
      <c r="A103" s="1"/>
      <c r="B103" s="1"/>
      <c r="C103" s="1"/>
      <c r="D103" s="7"/>
      <c r="E103" s="7"/>
      <c r="F103" s="7"/>
      <c r="G103" s="7"/>
      <c r="H103" s="7"/>
      <c r="I103" s="7"/>
      <c r="J103" s="7"/>
      <c r="K103" s="1"/>
      <c r="L103" s="1"/>
    </row>
    <row r="104" spans="1:12">
      <c r="A104" s="1">
        <v>38</v>
      </c>
      <c r="B104" s="1" t="s">
        <v>31</v>
      </c>
      <c r="C104" s="1" t="s">
        <v>12</v>
      </c>
      <c r="D104" s="7">
        <v>15120.76</v>
      </c>
      <c r="E104" s="7">
        <v>239.28</v>
      </c>
      <c r="F104" s="7">
        <v>99.61</v>
      </c>
      <c r="G104" s="7">
        <v>99.3</v>
      </c>
      <c r="H104" s="7">
        <v>96.29</v>
      </c>
      <c r="I104" s="7"/>
      <c r="J104" s="7">
        <f>SUM(D104:H104)</f>
        <v>15655.240000000002</v>
      </c>
      <c r="K104" s="1"/>
      <c r="L104" s="1"/>
    </row>
    <row r="105" spans="1:12">
      <c r="A105" s="1"/>
      <c r="B105" s="1"/>
      <c r="C105" s="1" t="s">
        <v>13</v>
      </c>
      <c r="D105" s="7">
        <v>1342.47</v>
      </c>
      <c r="E105" s="7">
        <v>14.17</v>
      </c>
      <c r="F105" s="7">
        <v>6.35</v>
      </c>
      <c r="G105" s="7">
        <v>12.84</v>
      </c>
      <c r="H105" s="7">
        <v>10.89</v>
      </c>
      <c r="I105" s="7"/>
      <c r="J105" s="7">
        <f>SUM(D105:H105)</f>
        <v>1386.72</v>
      </c>
      <c r="K105" s="1"/>
      <c r="L105" s="1"/>
    </row>
    <row r="106" spans="1:12">
      <c r="A106" s="1"/>
      <c r="B106" s="1"/>
      <c r="C106" s="1" t="s">
        <v>10</v>
      </c>
      <c r="D106" s="7">
        <f>SUM(D104:D105)</f>
        <v>16463.23</v>
      </c>
      <c r="E106" s="7">
        <f>SUM(E104:E105)</f>
        <v>253.45</v>
      </c>
      <c r="F106" s="7">
        <f>SUM(F104:F105)</f>
        <v>105.96</v>
      </c>
      <c r="G106" s="7">
        <f>SUM(G104:G105)</f>
        <v>112.14</v>
      </c>
      <c r="H106" s="7">
        <f>SUM(H104:H105)</f>
        <v>107.18</v>
      </c>
      <c r="I106" s="7"/>
      <c r="J106" s="7">
        <f>SUM(D106:H106)</f>
        <v>17041.96</v>
      </c>
      <c r="K106" s="1"/>
      <c r="L106" s="1"/>
    </row>
    <row r="107" spans="1:12">
      <c r="A107" s="1"/>
      <c r="B107" s="1"/>
      <c r="C107" s="1"/>
      <c r="D107" s="7"/>
      <c r="E107" s="7"/>
      <c r="F107" s="7"/>
      <c r="G107" s="7"/>
      <c r="H107" s="7"/>
      <c r="I107" s="7"/>
      <c r="J107" s="7"/>
      <c r="K107" s="1"/>
      <c r="L107" s="1"/>
    </row>
    <row r="108" spans="1:12">
      <c r="A108" s="1"/>
      <c r="B108" s="1"/>
      <c r="C108" s="1"/>
      <c r="D108" s="7"/>
      <c r="E108" s="7"/>
      <c r="F108" s="7"/>
      <c r="G108" s="7"/>
      <c r="H108" s="7"/>
      <c r="I108" s="7"/>
      <c r="J108" s="7"/>
      <c r="K108" s="1"/>
      <c r="L108" s="1"/>
    </row>
    <row r="109" spans="1:12">
      <c r="A109" s="1">
        <v>39</v>
      </c>
      <c r="B109" s="1" t="s">
        <v>32</v>
      </c>
      <c r="C109" s="1" t="s">
        <v>12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/>
      <c r="J109" s="7">
        <f>SUM(D109:H109)</f>
        <v>0</v>
      </c>
      <c r="K109" s="1"/>
      <c r="L109" s="1"/>
    </row>
    <row r="110" spans="1:12">
      <c r="A110" s="1"/>
      <c r="B110" s="1"/>
      <c r="C110" s="1"/>
      <c r="D110" s="7"/>
      <c r="E110" s="7"/>
      <c r="F110" s="7"/>
      <c r="G110" s="7"/>
      <c r="H110" s="7"/>
      <c r="I110" s="7"/>
      <c r="J110" s="7">
        <f>SUM(D110:H110)</f>
        <v>0</v>
      </c>
      <c r="K110" s="1"/>
      <c r="L110" s="1"/>
    </row>
    <row r="111" spans="1:12">
      <c r="A111" s="1"/>
      <c r="B111" s="1"/>
      <c r="C111" s="1" t="s">
        <v>10</v>
      </c>
      <c r="D111" s="7"/>
      <c r="E111" s="7"/>
      <c r="F111" s="7"/>
      <c r="G111" s="7"/>
      <c r="H111" s="7"/>
      <c r="I111" s="7"/>
      <c r="J111" s="7">
        <f>SUM(D111:H111)</f>
        <v>0</v>
      </c>
      <c r="K111" s="1"/>
      <c r="L111" s="1"/>
    </row>
    <row r="112" spans="1:12">
      <c r="A112" s="1"/>
      <c r="B112" s="1"/>
      <c r="C112" s="1"/>
      <c r="D112" s="7"/>
      <c r="E112" s="7"/>
      <c r="F112" s="7"/>
      <c r="G112" s="7"/>
      <c r="H112" s="7"/>
      <c r="I112" s="7"/>
      <c r="J112" s="7"/>
      <c r="K112" s="1"/>
      <c r="L112" s="1"/>
    </row>
    <row r="113" spans="1:12">
      <c r="A113" s="1"/>
      <c r="B113" s="1"/>
      <c r="C113" s="1"/>
      <c r="D113" s="7"/>
      <c r="E113" s="7"/>
      <c r="F113" s="7"/>
      <c r="G113" s="7"/>
      <c r="H113" s="7"/>
      <c r="I113" s="7"/>
      <c r="J113" s="7"/>
      <c r="K113" s="1"/>
      <c r="L113" s="1"/>
    </row>
    <row r="114" spans="1:12">
      <c r="A114" s="1">
        <v>40</v>
      </c>
      <c r="B114" s="1" t="s">
        <v>33</v>
      </c>
      <c r="C114" s="1" t="s">
        <v>12</v>
      </c>
      <c r="D114" s="7">
        <v>13525.1</v>
      </c>
      <c r="E114" s="7">
        <v>577.38</v>
      </c>
      <c r="F114" s="7">
        <v>277.94</v>
      </c>
      <c r="G114" s="7">
        <v>21.52</v>
      </c>
      <c r="H114" s="7">
        <v>0</v>
      </c>
      <c r="I114" s="7"/>
      <c r="J114" s="7">
        <f>SUM(D114:H114)</f>
        <v>14401.94</v>
      </c>
      <c r="K114" s="1"/>
      <c r="L114" s="1"/>
    </row>
    <row r="115" spans="1:12">
      <c r="A115" s="1"/>
      <c r="B115" s="1"/>
      <c r="C115" s="1"/>
      <c r="D115" s="7"/>
      <c r="E115" s="7"/>
      <c r="F115" s="7"/>
      <c r="G115" s="7"/>
      <c r="H115" s="7"/>
      <c r="I115" s="7"/>
      <c r="J115" s="7">
        <f>SUM(D115:H115)</f>
        <v>0</v>
      </c>
      <c r="K115" s="1"/>
      <c r="L115" s="1"/>
    </row>
    <row r="116" spans="1:12">
      <c r="A116" s="1"/>
      <c r="B116" s="1"/>
      <c r="C116" s="1" t="s">
        <v>10</v>
      </c>
      <c r="D116" s="7">
        <f>SUM(D114:D115)</f>
        <v>13525.1</v>
      </c>
      <c r="E116" s="7">
        <f>SUM(E114:E115)</f>
        <v>577.38</v>
      </c>
      <c r="F116" s="7">
        <f>SUM(F114:F115)</f>
        <v>277.94</v>
      </c>
      <c r="G116" s="7">
        <f>SUM(G114:G115)</f>
        <v>21.52</v>
      </c>
      <c r="H116" s="7">
        <f>SUM(H114:H115)</f>
        <v>0</v>
      </c>
      <c r="I116" s="7"/>
      <c r="J116" s="7">
        <f>SUM(D116:H116)</f>
        <v>14401.94</v>
      </c>
      <c r="K116" s="1"/>
      <c r="L116" s="1"/>
    </row>
    <row r="117" spans="1:12">
      <c r="A117" s="1"/>
      <c r="B117" s="1"/>
      <c r="C117" s="1"/>
      <c r="D117" s="7"/>
      <c r="E117" s="7"/>
      <c r="F117" s="7"/>
      <c r="G117" s="7"/>
      <c r="H117" s="7"/>
      <c r="I117" s="7"/>
      <c r="J117" s="7"/>
      <c r="K117" s="1"/>
      <c r="L117" s="1"/>
    </row>
    <row r="118" spans="1:12">
      <c r="A118" s="1"/>
      <c r="B118" s="1"/>
      <c r="C118" s="1"/>
      <c r="D118" s="7"/>
      <c r="E118" s="7"/>
      <c r="F118" s="7"/>
      <c r="G118" s="7"/>
      <c r="H118" s="7"/>
      <c r="I118" s="7"/>
      <c r="J118" s="7"/>
      <c r="K118" s="1"/>
      <c r="L118" s="1"/>
    </row>
    <row r="119" spans="1:12">
      <c r="A119" s="1">
        <v>41</v>
      </c>
      <c r="B119" s="1" t="s">
        <v>34</v>
      </c>
      <c r="C119" s="1" t="s">
        <v>12</v>
      </c>
      <c r="D119" s="7">
        <v>10600.84</v>
      </c>
      <c r="E119" s="7">
        <v>12.92</v>
      </c>
      <c r="F119" s="7">
        <v>0</v>
      </c>
      <c r="G119" s="7">
        <v>0</v>
      </c>
      <c r="H119" s="7">
        <v>0</v>
      </c>
      <c r="I119" s="7"/>
      <c r="J119" s="7">
        <f>SUM(D119:H119)</f>
        <v>10613.76</v>
      </c>
      <c r="K119" s="1"/>
      <c r="L119" s="1"/>
    </row>
    <row r="120" spans="1:12">
      <c r="A120" s="1"/>
      <c r="B120" s="1"/>
      <c r="C120" s="1" t="s">
        <v>35</v>
      </c>
      <c r="D120" s="7">
        <v>447.88</v>
      </c>
      <c r="E120" s="7">
        <v>0.44</v>
      </c>
      <c r="F120" s="7">
        <v>0</v>
      </c>
      <c r="G120" s="7">
        <v>0</v>
      </c>
      <c r="H120" s="7">
        <v>0</v>
      </c>
      <c r="I120" s="7"/>
      <c r="J120" s="7">
        <f>SUM(D120:H120)</f>
        <v>448.32</v>
      </c>
      <c r="K120" s="1"/>
      <c r="L120" s="1"/>
    </row>
    <row r="121" spans="1:12">
      <c r="A121" s="1"/>
      <c r="B121" s="1"/>
      <c r="C121" s="1" t="s">
        <v>10</v>
      </c>
      <c r="D121" s="7">
        <f>SUM(D119:D120)</f>
        <v>11048.72</v>
      </c>
      <c r="E121" s="7">
        <f>SUM(E119:E120)</f>
        <v>13.36</v>
      </c>
      <c r="F121" s="7">
        <f>SUM(F119:F120)</f>
        <v>0</v>
      </c>
      <c r="G121" s="7">
        <f>SUM(G119:G120)</f>
        <v>0</v>
      </c>
      <c r="H121" s="7">
        <f>SUM(H119:H120)</f>
        <v>0</v>
      </c>
      <c r="I121" s="7"/>
      <c r="J121" s="7">
        <f>SUM(D121:H121)</f>
        <v>11062.08</v>
      </c>
      <c r="K121" s="1"/>
      <c r="L121" s="1"/>
    </row>
    <row r="122" spans="1:12">
      <c r="A122" s="1"/>
      <c r="B122" s="1"/>
      <c r="C122" s="1"/>
      <c r="D122" s="7"/>
      <c r="E122" s="7"/>
      <c r="F122" s="7"/>
      <c r="G122" s="7"/>
      <c r="H122" s="7"/>
      <c r="I122" s="7"/>
      <c r="J122" s="7"/>
      <c r="K122" s="1"/>
      <c r="L122" s="1"/>
    </row>
    <row r="123" spans="1:12">
      <c r="A123" s="1"/>
      <c r="B123" s="1"/>
      <c r="C123" s="1"/>
      <c r="D123" s="7"/>
      <c r="E123" s="7"/>
      <c r="F123" s="7"/>
      <c r="G123" s="7"/>
      <c r="H123" s="7"/>
      <c r="I123" s="7"/>
      <c r="J123" s="7"/>
      <c r="K123" s="1"/>
      <c r="L123" s="1"/>
    </row>
    <row r="124" spans="1:12">
      <c r="A124" s="1">
        <v>42</v>
      </c>
      <c r="B124" s="1" t="s">
        <v>36</v>
      </c>
      <c r="C124" s="1" t="s">
        <v>12</v>
      </c>
      <c r="D124" s="7">
        <v>10224.5</v>
      </c>
      <c r="E124" s="7">
        <v>2.63</v>
      </c>
      <c r="F124" s="7">
        <v>0</v>
      </c>
      <c r="G124" s="7">
        <v>0</v>
      </c>
      <c r="H124" s="7">
        <v>0</v>
      </c>
      <c r="I124" s="7"/>
      <c r="J124" s="7">
        <f>SUM(D124:H124)</f>
        <v>10227.129999999999</v>
      </c>
      <c r="K124" s="1"/>
      <c r="L124" s="1"/>
    </row>
    <row r="125" spans="1:12">
      <c r="A125" s="1"/>
      <c r="B125" s="1"/>
      <c r="C125" s="1" t="s">
        <v>13</v>
      </c>
      <c r="D125" s="7">
        <v>479.79</v>
      </c>
      <c r="E125" s="7">
        <v>-0.04</v>
      </c>
      <c r="F125" s="7">
        <v>0</v>
      </c>
      <c r="G125" s="7">
        <v>0</v>
      </c>
      <c r="H125" s="7">
        <v>0</v>
      </c>
      <c r="I125" s="7"/>
      <c r="J125" s="7">
        <f>SUM(D125:H125)</f>
        <v>479.75</v>
      </c>
      <c r="K125" s="1"/>
      <c r="L125" s="1"/>
    </row>
    <row r="126" spans="1:12">
      <c r="A126" s="1"/>
      <c r="B126" s="1"/>
      <c r="C126" s="1" t="s">
        <v>10</v>
      </c>
      <c r="D126" s="7">
        <f>SUM(D124:D125)</f>
        <v>10704.29</v>
      </c>
      <c r="E126" s="7">
        <f>SUM(E124:E125)</f>
        <v>2.59</v>
      </c>
      <c r="F126" s="7">
        <f>SUM(F124:F125)</f>
        <v>0</v>
      </c>
      <c r="G126" s="7">
        <f>SUM(G124:G125)</f>
        <v>0</v>
      </c>
      <c r="H126" s="7">
        <f>SUM(H124:H125)</f>
        <v>0</v>
      </c>
      <c r="I126" s="7"/>
      <c r="J126" s="7">
        <f>SUM(D126:H126)</f>
        <v>10706.880000000001</v>
      </c>
      <c r="K126" s="1"/>
      <c r="L126" s="1"/>
    </row>
    <row r="127" spans="1:12">
      <c r="A127" s="1"/>
      <c r="B127" s="1"/>
      <c r="C127" s="1"/>
      <c r="D127" s="7"/>
      <c r="E127" s="7"/>
      <c r="F127" s="7"/>
      <c r="G127" s="7"/>
      <c r="H127" s="7"/>
      <c r="I127" s="7"/>
      <c r="J127" s="7"/>
      <c r="K127" s="1"/>
      <c r="L127" s="1"/>
    </row>
    <row r="128" spans="1:12">
      <c r="A128" s="1"/>
      <c r="B128" s="1"/>
      <c r="C128" s="1"/>
      <c r="D128" s="7"/>
      <c r="E128" s="7"/>
      <c r="F128" s="7"/>
      <c r="G128" s="7"/>
      <c r="H128" s="7"/>
      <c r="I128" s="7"/>
      <c r="J128" s="7"/>
      <c r="K128" s="1"/>
      <c r="L128" s="1"/>
    </row>
    <row r="129" spans="1:12">
      <c r="A129" s="1">
        <v>43</v>
      </c>
      <c r="B129" s="1" t="s">
        <v>37</v>
      </c>
      <c r="C129" s="1" t="s">
        <v>12</v>
      </c>
      <c r="D129" s="7">
        <v>15061.33</v>
      </c>
      <c r="E129" s="7">
        <v>0</v>
      </c>
      <c r="F129" s="7">
        <v>0</v>
      </c>
      <c r="G129" s="7">
        <v>0</v>
      </c>
      <c r="H129" s="7">
        <v>0</v>
      </c>
      <c r="I129" s="7"/>
      <c r="J129" s="7">
        <f>SUM(D129:H129)</f>
        <v>15061.33</v>
      </c>
      <c r="K129" s="1"/>
      <c r="L129" s="1"/>
    </row>
    <row r="130" spans="1:12">
      <c r="A130" s="1"/>
      <c r="B130" s="1"/>
      <c r="C130" s="1" t="s">
        <v>13</v>
      </c>
      <c r="D130" s="7">
        <v>985.03</v>
      </c>
      <c r="E130" s="7">
        <v>0</v>
      </c>
      <c r="F130" s="7">
        <v>0</v>
      </c>
      <c r="G130" s="7">
        <v>0</v>
      </c>
      <c r="H130" s="7">
        <v>0</v>
      </c>
      <c r="I130" s="7"/>
      <c r="J130" s="7">
        <f>SUM(D130:H130)</f>
        <v>985.03</v>
      </c>
      <c r="K130" s="1"/>
      <c r="L130" s="1"/>
    </row>
    <row r="131" spans="1:12">
      <c r="A131" s="1"/>
      <c r="B131" s="1"/>
      <c r="C131" s="1" t="s">
        <v>10</v>
      </c>
      <c r="D131" s="7">
        <f>SUM(D129:D130)</f>
        <v>16046.36</v>
      </c>
      <c r="E131" s="7">
        <f>SUM(E129:E130)</f>
        <v>0</v>
      </c>
      <c r="F131" s="7">
        <f>SUM(F129:F130)</f>
        <v>0</v>
      </c>
      <c r="G131" s="7">
        <f>SUM(G129:G130)</f>
        <v>0</v>
      </c>
      <c r="H131" s="7">
        <f>SUM(H129:H130)</f>
        <v>0</v>
      </c>
      <c r="I131" s="7"/>
      <c r="J131" s="7">
        <f>SUM(D131:H131)</f>
        <v>16046.36</v>
      </c>
      <c r="K131" s="1"/>
      <c r="L131" s="1"/>
    </row>
    <row r="132" spans="1:12">
      <c r="A132" s="1"/>
      <c r="B132" s="1"/>
      <c r="C132" s="1"/>
      <c r="D132" s="7"/>
      <c r="E132" s="7"/>
      <c r="F132" s="7"/>
      <c r="G132" s="7"/>
      <c r="H132" s="7"/>
      <c r="I132" s="7"/>
      <c r="J132" s="7"/>
      <c r="K132" s="1"/>
      <c r="L132" s="1"/>
    </row>
    <row r="133" spans="1:12">
      <c r="A133" s="1"/>
      <c r="B133" s="1"/>
      <c r="C133" s="1"/>
      <c r="D133" s="7"/>
      <c r="E133" s="7"/>
      <c r="F133" s="7"/>
      <c r="G133" s="7"/>
      <c r="H133" s="7"/>
      <c r="I133" s="7"/>
      <c r="J133" s="7"/>
      <c r="K133" s="1"/>
      <c r="L133" s="1"/>
    </row>
    <row r="134" spans="1:12">
      <c r="A134" s="1">
        <v>44</v>
      </c>
      <c r="B134" s="1" t="s">
        <v>38</v>
      </c>
      <c r="C134" s="1" t="s">
        <v>12</v>
      </c>
      <c r="D134" s="7">
        <v>13871.26</v>
      </c>
      <c r="E134" s="7">
        <v>270.58999999999997</v>
      </c>
      <c r="F134" s="7">
        <v>269.56</v>
      </c>
      <c r="G134" s="7">
        <v>154.78</v>
      </c>
      <c r="H134" s="7">
        <v>77.95</v>
      </c>
      <c r="I134" s="7"/>
      <c r="J134" s="7">
        <f>SUM(D134:H134)</f>
        <v>14644.140000000001</v>
      </c>
      <c r="K134" s="1"/>
      <c r="L134" s="1"/>
    </row>
    <row r="135" spans="1:12">
      <c r="A135" s="1"/>
      <c r="B135" s="1"/>
      <c r="C135" s="1"/>
      <c r="D135" s="7"/>
      <c r="E135" s="7"/>
      <c r="F135" s="7"/>
      <c r="G135" s="7"/>
      <c r="H135" s="7"/>
      <c r="I135" s="7"/>
      <c r="J135" s="7">
        <f>SUM(D135:H135)</f>
        <v>0</v>
      </c>
      <c r="K135" s="1"/>
      <c r="L135" s="1"/>
    </row>
    <row r="136" spans="1:12">
      <c r="A136" s="1"/>
      <c r="B136" s="1"/>
      <c r="C136" s="1" t="s">
        <v>10</v>
      </c>
      <c r="D136" s="7">
        <f>SUM(D134:D135)</f>
        <v>13871.26</v>
      </c>
      <c r="E136" s="7">
        <f>SUM(E134:E135)</f>
        <v>270.58999999999997</v>
      </c>
      <c r="F136" s="7">
        <f>SUM(F134:F135)</f>
        <v>269.56</v>
      </c>
      <c r="G136" s="7">
        <f>SUM(G134:G135)</f>
        <v>154.78</v>
      </c>
      <c r="H136" s="7">
        <f>SUM(H134:H135)</f>
        <v>77.95</v>
      </c>
      <c r="I136" s="7"/>
      <c r="J136" s="7">
        <f>SUM(D136:H136)</f>
        <v>14644.140000000001</v>
      </c>
      <c r="K136" s="1"/>
      <c r="L136" s="1"/>
    </row>
    <row r="137" spans="1:12">
      <c r="A137" s="1"/>
      <c r="B137" s="1"/>
      <c r="C137" s="1"/>
      <c r="D137" s="7" t="s">
        <v>70</v>
      </c>
      <c r="E137" s="7" t="s">
        <v>70</v>
      </c>
      <c r="F137" s="7" t="s">
        <v>70</v>
      </c>
      <c r="G137" s="7" t="s">
        <v>70</v>
      </c>
      <c r="H137" s="7" t="s">
        <v>70</v>
      </c>
      <c r="I137" s="7"/>
      <c r="J137" s="7"/>
      <c r="K137" s="1"/>
      <c r="L137" s="1"/>
    </row>
    <row r="138" spans="1:12">
      <c r="A138" s="1"/>
      <c r="B138" s="1"/>
      <c r="C138" s="1"/>
      <c r="D138" s="7"/>
      <c r="E138" s="7"/>
      <c r="F138" s="7"/>
      <c r="G138" s="7"/>
      <c r="H138" s="7"/>
      <c r="I138" s="7"/>
      <c r="J138" s="7"/>
      <c r="K138" s="1"/>
      <c r="L138" s="1"/>
    </row>
    <row r="139" spans="1:12">
      <c r="A139" s="1">
        <v>45</v>
      </c>
      <c r="B139" s="1" t="s">
        <v>39</v>
      </c>
      <c r="C139" s="1" t="s">
        <v>12</v>
      </c>
      <c r="D139" s="7">
        <v>8391</v>
      </c>
      <c r="E139" s="7">
        <v>302</v>
      </c>
      <c r="F139" s="7">
        <v>226.01</v>
      </c>
      <c r="G139" s="7">
        <v>0.26</v>
      </c>
      <c r="H139" s="7">
        <v>0</v>
      </c>
      <c r="I139" s="7"/>
      <c r="J139" s="7">
        <f>SUM(D139:H139)</f>
        <v>8919.27</v>
      </c>
      <c r="K139" s="1"/>
      <c r="L139" s="1"/>
    </row>
    <row r="140" spans="1:12">
      <c r="A140" s="1"/>
      <c r="B140" s="1"/>
      <c r="C140" s="1"/>
      <c r="D140" s="7"/>
      <c r="E140" s="7"/>
      <c r="F140" s="7"/>
      <c r="G140" s="7"/>
      <c r="H140" s="7"/>
      <c r="I140" s="7"/>
      <c r="J140" s="7">
        <f>SUM(D140:H140)</f>
        <v>0</v>
      </c>
      <c r="K140" s="1"/>
      <c r="L140" s="1"/>
    </row>
    <row r="141" spans="1:12">
      <c r="A141" s="1"/>
      <c r="B141" s="1"/>
      <c r="C141" s="1" t="s">
        <v>10</v>
      </c>
      <c r="D141" s="7">
        <f>SUM(D139:D140)</f>
        <v>8391</v>
      </c>
      <c r="E141" s="7">
        <f>SUM(E139:E140)</f>
        <v>302</v>
      </c>
      <c r="F141" s="7">
        <f>SUM(F139:F140)</f>
        <v>226.01</v>
      </c>
      <c r="G141" s="7">
        <f>SUM(G139:G140)</f>
        <v>0.26</v>
      </c>
      <c r="H141" s="7">
        <f>SUM(H139:H140)</f>
        <v>0</v>
      </c>
      <c r="I141" s="7"/>
      <c r="J141" s="7">
        <f>SUM(D141:H141)</f>
        <v>8919.27</v>
      </c>
      <c r="K141" s="1"/>
      <c r="L141" s="1"/>
    </row>
    <row r="142" spans="1:12">
      <c r="A142" s="1"/>
      <c r="B142" s="1"/>
      <c r="C142" s="1"/>
      <c r="D142" s="7"/>
      <c r="E142" s="7"/>
      <c r="F142" s="7"/>
      <c r="G142" s="7"/>
      <c r="H142" s="7"/>
      <c r="I142" s="7"/>
      <c r="J142" s="7"/>
      <c r="K142" s="1"/>
      <c r="L142" s="1"/>
    </row>
    <row r="143" spans="1:12">
      <c r="A143" s="1"/>
      <c r="B143" s="1"/>
      <c r="C143" s="1"/>
      <c r="D143" s="7"/>
      <c r="E143" s="7"/>
      <c r="F143" s="7"/>
      <c r="G143" s="7"/>
      <c r="H143" s="7"/>
      <c r="I143" s="7"/>
      <c r="J143" s="7"/>
      <c r="K143" s="1"/>
      <c r="L143" s="1"/>
    </row>
    <row r="144" spans="1:12">
      <c r="A144" s="1">
        <v>46</v>
      </c>
      <c r="B144" s="1" t="s">
        <v>40</v>
      </c>
      <c r="C144" s="1" t="s">
        <v>12</v>
      </c>
      <c r="D144" s="7">
        <v>6704.01</v>
      </c>
      <c r="E144" s="7">
        <v>438.47</v>
      </c>
      <c r="F144" s="7">
        <v>130.81</v>
      </c>
      <c r="G144" s="7">
        <v>0</v>
      </c>
      <c r="H144" s="7">
        <v>0</v>
      </c>
      <c r="I144" s="7"/>
      <c r="J144" s="7">
        <f>SUM(D144:H144)</f>
        <v>7273.2900000000009</v>
      </c>
      <c r="K144" s="1"/>
      <c r="L144" s="1"/>
    </row>
    <row r="145" spans="1:12">
      <c r="A145" s="1"/>
      <c r="B145" s="1"/>
      <c r="C145" s="1"/>
      <c r="D145" s="7"/>
      <c r="E145" s="7"/>
      <c r="F145" s="7"/>
      <c r="G145" s="7"/>
      <c r="H145" s="7"/>
      <c r="I145" s="7"/>
      <c r="J145" s="7">
        <f>SUM(D145:H145)</f>
        <v>0</v>
      </c>
      <c r="K145" s="1"/>
      <c r="L145" s="1"/>
    </row>
    <row r="146" spans="1:12">
      <c r="A146" s="1"/>
      <c r="B146" s="1"/>
      <c r="C146" s="1" t="s">
        <v>10</v>
      </c>
      <c r="D146" s="7">
        <f>SUM(D144:D145)</f>
        <v>6704.01</v>
      </c>
      <c r="E146" s="7">
        <f>SUM(E144:E145)</f>
        <v>438.47</v>
      </c>
      <c r="F146" s="7">
        <f>SUM(F144:F145)</f>
        <v>130.81</v>
      </c>
      <c r="G146" s="7">
        <f>SUM(G144:G145)</f>
        <v>0</v>
      </c>
      <c r="H146" s="7">
        <f>SUM(H144:H145)</f>
        <v>0</v>
      </c>
      <c r="I146" s="7"/>
      <c r="J146" s="7">
        <f>SUM(D146:H146)</f>
        <v>7273.2900000000009</v>
      </c>
      <c r="K146" s="1"/>
      <c r="L146" s="1"/>
    </row>
    <row r="147" spans="1:12">
      <c r="A147" s="1"/>
      <c r="B147" s="1"/>
      <c r="C147" s="1"/>
      <c r="D147" s="7"/>
      <c r="E147" s="7"/>
      <c r="F147" s="7"/>
      <c r="G147" s="7"/>
      <c r="H147" s="7"/>
      <c r="I147" s="7"/>
      <c r="J147" s="7"/>
      <c r="K147" s="1"/>
      <c r="L147" s="1"/>
    </row>
    <row r="148" spans="1:12">
      <c r="A148" s="1"/>
      <c r="B148" s="1"/>
      <c r="C148" s="1"/>
      <c r="D148" s="7"/>
      <c r="E148" s="7"/>
      <c r="F148" s="7"/>
      <c r="G148" s="7"/>
      <c r="H148" s="7"/>
      <c r="I148" s="7"/>
      <c r="J148" s="7"/>
      <c r="K148" s="1"/>
      <c r="L148" s="1"/>
    </row>
    <row r="149" spans="1:12">
      <c r="A149" s="1">
        <v>47</v>
      </c>
      <c r="B149" s="1" t="s">
        <v>41</v>
      </c>
      <c r="C149" s="1" t="s">
        <v>12</v>
      </c>
      <c r="D149" s="7">
        <v>9097.2199999999993</v>
      </c>
      <c r="E149" s="7">
        <v>594.45000000000005</v>
      </c>
      <c r="F149" s="7">
        <v>260.2</v>
      </c>
      <c r="G149" s="7">
        <v>200.04</v>
      </c>
      <c r="H149" s="7">
        <v>83.21</v>
      </c>
      <c r="I149" s="7"/>
      <c r="J149" s="7">
        <f>SUM(D149:H149)</f>
        <v>10235.120000000001</v>
      </c>
      <c r="K149" s="1"/>
      <c r="L149" s="1"/>
    </row>
    <row r="150" spans="1:12">
      <c r="A150" s="1"/>
      <c r="B150" s="1"/>
      <c r="C150" s="1" t="s">
        <v>13</v>
      </c>
      <c r="D150" s="7"/>
      <c r="E150" s="7"/>
      <c r="F150" s="7"/>
      <c r="G150" s="7"/>
      <c r="H150" s="7">
        <v>2.84</v>
      </c>
      <c r="I150" s="7"/>
      <c r="J150" s="7">
        <f>SUM(D150:H150)</f>
        <v>2.84</v>
      </c>
      <c r="K150" s="1"/>
      <c r="L150" s="1"/>
    </row>
    <row r="151" spans="1:12">
      <c r="A151" s="1"/>
      <c r="B151" s="1"/>
      <c r="C151" s="1" t="s">
        <v>10</v>
      </c>
      <c r="D151" s="7">
        <f>SUM(D149:D150)</f>
        <v>9097.2199999999993</v>
      </c>
      <c r="E151" s="7">
        <f>SUM(E149:E150)</f>
        <v>594.45000000000005</v>
      </c>
      <c r="F151" s="7">
        <f>SUM(F149:F150)</f>
        <v>260.2</v>
      </c>
      <c r="G151" s="7">
        <f>SUM(G149:G150)</f>
        <v>200.04</v>
      </c>
      <c r="H151" s="7">
        <f>SUM(H149:H150)</f>
        <v>86.05</v>
      </c>
      <c r="I151" s="7"/>
      <c r="J151" s="7">
        <f>SUM(D151:H151)</f>
        <v>10237.960000000001</v>
      </c>
      <c r="K151" s="1"/>
      <c r="L151" s="1"/>
    </row>
    <row r="152" spans="1:12">
      <c r="A152" s="1"/>
      <c r="B152" s="1"/>
      <c r="C152" s="1"/>
      <c r="D152" s="7"/>
      <c r="E152" s="7"/>
      <c r="F152" s="7"/>
      <c r="G152" s="7"/>
      <c r="H152" s="7"/>
      <c r="I152" s="7"/>
      <c r="J152" s="7"/>
      <c r="K152" s="1"/>
      <c r="L152" s="1"/>
    </row>
    <row r="153" spans="1:12">
      <c r="A153" s="1"/>
      <c r="B153" s="1"/>
      <c r="C153" s="1"/>
      <c r="D153" s="7"/>
      <c r="E153" s="7"/>
      <c r="F153" s="7"/>
      <c r="G153" s="7"/>
      <c r="H153" s="7"/>
      <c r="I153" s="7"/>
      <c r="J153" s="7"/>
      <c r="K153" s="1"/>
      <c r="L153" s="1"/>
    </row>
    <row r="154" spans="1:12">
      <c r="A154" s="1">
        <v>48</v>
      </c>
      <c r="B154" s="1" t="s">
        <v>42</v>
      </c>
      <c r="C154" s="1" t="s">
        <v>12</v>
      </c>
      <c r="D154" s="7">
        <v>18195.97</v>
      </c>
      <c r="E154" s="7">
        <v>177.32</v>
      </c>
      <c r="F154" s="7">
        <v>260.41000000000003</v>
      </c>
      <c r="G154" s="7">
        <v>258.58999999999997</v>
      </c>
      <c r="H154" s="7">
        <v>191.84</v>
      </c>
      <c r="I154" s="7"/>
      <c r="J154" s="7">
        <f>SUM(D154:H154)</f>
        <v>19084.13</v>
      </c>
      <c r="K154" s="1"/>
      <c r="L154" s="1"/>
    </row>
    <row r="155" spans="1:12">
      <c r="A155" s="1"/>
      <c r="B155" s="1"/>
      <c r="C155" s="1"/>
      <c r="D155" s="7"/>
      <c r="E155" s="7"/>
      <c r="F155" s="7"/>
      <c r="G155" s="7"/>
      <c r="H155" s="7"/>
      <c r="I155" s="7"/>
      <c r="J155" s="7">
        <f>SUM(D155:H155)</f>
        <v>0</v>
      </c>
      <c r="K155" s="1"/>
      <c r="L155" s="1"/>
    </row>
    <row r="156" spans="1:12">
      <c r="A156" s="1"/>
      <c r="B156" s="1"/>
      <c r="C156" s="1" t="s">
        <v>10</v>
      </c>
      <c r="D156" s="7">
        <f>SUM(D154:D155)</f>
        <v>18195.97</v>
      </c>
      <c r="E156" s="7">
        <f>SUM(E154:E155)</f>
        <v>177.32</v>
      </c>
      <c r="F156" s="7">
        <f>SUM(F154:F155)</f>
        <v>260.41000000000003</v>
      </c>
      <c r="G156" s="7">
        <f>SUM(G154:G155)</f>
        <v>258.58999999999997</v>
      </c>
      <c r="H156" s="7">
        <f>SUM(H154:H155)</f>
        <v>191.84</v>
      </c>
      <c r="I156" s="7"/>
      <c r="J156" s="7">
        <f>SUM(D156:H156)</f>
        <v>19084.13</v>
      </c>
      <c r="K156" s="1"/>
      <c r="L156" s="1"/>
    </row>
    <row r="157" spans="1:12">
      <c r="A157" s="1"/>
      <c r="B157" s="1"/>
      <c r="C157" s="1"/>
      <c r="D157" s="7"/>
      <c r="E157" s="7"/>
      <c r="F157" s="7"/>
      <c r="G157" s="7"/>
      <c r="H157" s="7"/>
      <c r="I157" s="7"/>
      <c r="J157" s="7"/>
      <c r="K157" s="1"/>
      <c r="L157" s="1"/>
    </row>
    <row r="158" spans="1:12">
      <c r="A158" s="1"/>
      <c r="B158" s="1"/>
      <c r="C158" s="1"/>
      <c r="D158" s="7"/>
      <c r="E158" s="7"/>
      <c r="F158" s="7"/>
      <c r="G158" s="7"/>
      <c r="H158" s="7"/>
      <c r="I158" s="7"/>
      <c r="J158" s="7"/>
      <c r="K158" s="1"/>
      <c r="L158" s="1"/>
    </row>
    <row r="159" spans="1:12">
      <c r="A159" s="1">
        <v>49</v>
      </c>
      <c r="B159" s="1" t="s">
        <v>43</v>
      </c>
      <c r="C159" s="1" t="s">
        <v>12</v>
      </c>
      <c r="D159" s="7">
        <v>18291.669999999998</v>
      </c>
      <c r="E159" s="7">
        <v>560.55999999999995</v>
      </c>
      <c r="F159" s="7">
        <v>342.53</v>
      </c>
      <c r="G159" s="7">
        <v>105.43</v>
      </c>
      <c r="H159" s="7">
        <v>0</v>
      </c>
      <c r="I159" s="7"/>
      <c r="J159" s="7">
        <f>SUM(D159:H159)</f>
        <v>19300.189999999999</v>
      </c>
      <c r="K159" s="1"/>
      <c r="L159" s="1"/>
    </row>
    <row r="160" spans="1:12">
      <c r="A160" s="1"/>
      <c r="B160" s="1"/>
      <c r="C160" s="1"/>
      <c r="D160" s="7"/>
      <c r="E160" s="7"/>
      <c r="F160" s="7"/>
      <c r="G160" s="7"/>
      <c r="H160" s="7"/>
      <c r="I160" s="7"/>
      <c r="J160" s="7">
        <f>SUM(D160:H160)</f>
        <v>0</v>
      </c>
      <c r="K160" s="1"/>
      <c r="L160" s="1"/>
    </row>
    <row r="161" spans="1:12">
      <c r="A161" s="1"/>
      <c r="B161" s="1"/>
      <c r="C161" s="1" t="s">
        <v>10</v>
      </c>
      <c r="D161" s="7">
        <f>SUM(D159:D160)</f>
        <v>18291.669999999998</v>
      </c>
      <c r="E161" s="7">
        <f>SUM(E159:E160)</f>
        <v>560.55999999999995</v>
      </c>
      <c r="F161" s="7">
        <f>SUM(F159:F160)</f>
        <v>342.53</v>
      </c>
      <c r="G161" s="7">
        <f>SUM(G159:G160)</f>
        <v>105.43</v>
      </c>
      <c r="H161" s="7">
        <f>SUM(H159:H160)</f>
        <v>0</v>
      </c>
      <c r="I161" s="7"/>
      <c r="J161" s="7">
        <f>SUM(D161:H161)</f>
        <v>19300.189999999999</v>
      </c>
      <c r="K161" s="1"/>
      <c r="L161" s="1"/>
    </row>
    <row r="162" spans="1:12">
      <c r="A162" s="1"/>
      <c r="B162" s="1"/>
      <c r="C162" s="1"/>
      <c r="D162" s="7"/>
      <c r="E162" s="7"/>
      <c r="F162" s="7"/>
      <c r="G162" s="7"/>
      <c r="H162" s="7"/>
      <c r="I162" s="7"/>
      <c r="J162" s="7"/>
      <c r="K162" s="1"/>
      <c r="L162" s="1"/>
    </row>
    <row r="163" spans="1:12">
      <c r="A163" s="1"/>
      <c r="B163" s="1"/>
      <c r="C163" s="1"/>
      <c r="D163" s="7"/>
      <c r="E163" s="7"/>
      <c r="F163" s="7"/>
      <c r="G163" s="7"/>
      <c r="H163" s="7"/>
      <c r="I163" s="7"/>
      <c r="J163" s="7"/>
      <c r="K163" s="1"/>
      <c r="L163" s="1"/>
    </row>
    <row r="164" spans="1:12">
      <c r="A164" s="1">
        <v>50</v>
      </c>
      <c r="B164" s="1" t="s">
        <v>44</v>
      </c>
      <c r="C164" s="1" t="s">
        <v>12</v>
      </c>
      <c r="D164" s="7">
        <v>7143.03</v>
      </c>
      <c r="E164" s="7">
        <v>53.05</v>
      </c>
      <c r="F164" s="7">
        <v>0</v>
      </c>
      <c r="G164" s="7">
        <v>0</v>
      </c>
      <c r="H164" s="7">
        <v>0</v>
      </c>
      <c r="I164" s="7"/>
      <c r="J164" s="7">
        <f>SUM(D164:H164)</f>
        <v>7196.08</v>
      </c>
      <c r="K164" s="1"/>
      <c r="L164" s="1"/>
    </row>
    <row r="165" spans="1:12">
      <c r="A165" s="1"/>
      <c r="B165" s="1"/>
      <c r="C165" s="1" t="s">
        <v>13</v>
      </c>
      <c r="D165" s="7"/>
      <c r="E165" s="7">
        <v>1.3</v>
      </c>
      <c r="F165" s="7">
        <v>0</v>
      </c>
      <c r="G165" s="7">
        <v>0</v>
      </c>
      <c r="H165" s="7">
        <v>0</v>
      </c>
      <c r="I165" s="7"/>
      <c r="J165" s="7">
        <f>SUM(D165:H165)</f>
        <v>1.3</v>
      </c>
      <c r="K165" s="1"/>
      <c r="L165" s="1"/>
    </row>
    <row r="166" spans="1:12">
      <c r="A166" s="1"/>
      <c r="B166" s="1"/>
      <c r="C166" s="1" t="s">
        <v>10</v>
      </c>
      <c r="D166" s="7">
        <f>SUM(D164:D165)</f>
        <v>7143.03</v>
      </c>
      <c r="E166" s="7">
        <f>SUM(E164:E165)</f>
        <v>54.349999999999994</v>
      </c>
      <c r="F166" s="7">
        <f>SUM(F164:F165)</f>
        <v>0</v>
      </c>
      <c r="G166" s="7">
        <f>SUM(G164:G165)</f>
        <v>0</v>
      </c>
      <c r="H166" s="7">
        <f>SUM(H164:H165)</f>
        <v>0</v>
      </c>
      <c r="I166" s="7"/>
      <c r="J166" s="7">
        <f>SUM(D166:H166)</f>
        <v>7197.38</v>
      </c>
      <c r="K166" s="1"/>
      <c r="L166" s="1"/>
    </row>
    <row r="167" spans="1:12">
      <c r="A167" s="1"/>
      <c r="B167" s="1"/>
      <c r="C167" s="1"/>
      <c r="D167" s="7"/>
      <c r="E167" s="7"/>
      <c r="F167" s="7"/>
      <c r="G167" s="7"/>
      <c r="H167" s="7"/>
      <c r="I167" s="7"/>
      <c r="J167" s="7"/>
      <c r="K167" s="1"/>
      <c r="L167" s="1"/>
    </row>
    <row r="168" spans="1:12">
      <c r="A168" s="1"/>
      <c r="B168" s="1"/>
      <c r="C168" s="1"/>
      <c r="D168" s="7"/>
      <c r="E168" s="7"/>
      <c r="F168" s="7"/>
      <c r="G168" s="7"/>
      <c r="H168" s="7"/>
      <c r="I168" s="7"/>
      <c r="J168" s="7"/>
      <c r="K168" s="1"/>
      <c r="L168" s="1"/>
    </row>
    <row r="169" spans="1:12">
      <c r="A169" s="1">
        <v>51</v>
      </c>
      <c r="B169" s="1" t="s">
        <v>45</v>
      </c>
      <c r="C169" s="1" t="s">
        <v>12</v>
      </c>
      <c r="D169" s="7">
        <v>19575.169999999998</v>
      </c>
      <c r="E169" s="7">
        <v>948.63</v>
      </c>
      <c r="F169" s="7">
        <v>0</v>
      </c>
      <c r="G169" s="7">
        <v>0</v>
      </c>
      <c r="H169" s="7">
        <v>0</v>
      </c>
      <c r="I169" s="7"/>
      <c r="J169" s="7">
        <f>SUM(D169:H169)</f>
        <v>20523.8</v>
      </c>
      <c r="K169" s="1"/>
      <c r="L169" s="1"/>
    </row>
    <row r="170" spans="1:12">
      <c r="A170" s="1"/>
      <c r="B170" s="1"/>
      <c r="C170" s="1" t="s">
        <v>13</v>
      </c>
      <c r="D170" s="7">
        <v>1314.62</v>
      </c>
      <c r="E170" s="7">
        <v>63.68</v>
      </c>
      <c r="F170" s="7">
        <v>0</v>
      </c>
      <c r="G170" s="7">
        <v>0</v>
      </c>
      <c r="H170" s="7">
        <v>0</v>
      </c>
      <c r="I170" s="7"/>
      <c r="J170" s="7">
        <f>SUM(D170:H170)</f>
        <v>1378.3</v>
      </c>
      <c r="K170" s="1"/>
      <c r="L170" s="1"/>
    </row>
    <row r="171" spans="1:12">
      <c r="A171" s="1"/>
      <c r="B171" s="1"/>
      <c r="C171" s="1" t="s">
        <v>46</v>
      </c>
      <c r="D171" s="7">
        <v>316.48</v>
      </c>
      <c r="E171" s="7">
        <v>15.44</v>
      </c>
      <c r="F171" s="7">
        <v>0</v>
      </c>
      <c r="G171" s="7">
        <v>0</v>
      </c>
      <c r="H171" s="7">
        <v>0</v>
      </c>
      <c r="I171" s="7"/>
      <c r="J171" s="7">
        <f>SUM(D171:H171)</f>
        <v>331.92</v>
      </c>
      <c r="K171" s="1"/>
      <c r="L171" s="1"/>
    </row>
    <row r="172" spans="1:12">
      <c r="A172" s="1"/>
      <c r="B172" s="1"/>
      <c r="C172" s="1" t="s">
        <v>10</v>
      </c>
      <c r="D172" s="7">
        <f>SUM(D169:D171)</f>
        <v>21206.269999999997</v>
      </c>
      <c r="E172" s="7">
        <f>SUM(E169:E171)</f>
        <v>1027.75</v>
      </c>
      <c r="F172" s="7">
        <f>SUM(F169:F171)</f>
        <v>0</v>
      </c>
      <c r="G172" s="7">
        <f>SUM(G169:G171)</f>
        <v>0</v>
      </c>
      <c r="H172" s="7">
        <f>SUM(H169:H171)</f>
        <v>0</v>
      </c>
      <c r="I172" s="7"/>
      <c r="J172" s="7">
        <f>SUM(D172:H172)</f>
        <v>22234.019999999997</v>
      </c>
      <c r="K172" s="1"/>
      <c r="L172" s="1"/>
    </row>
    <row r="173" spans="1:12">
      <c r="A173" s="1"/>
      <c r="B173" s="1"/>
      <c r="C173" s="1"/>
      <c r="D173" s="7"/>
      <c r="E173" s="7"/>
      <c r="F173" s="7"/>
      <c r="G173" s="7"/>
      <c r="H173" s="7"/>
      <c r="I173" s="7"/>
      <c r="J173" s="7"/>
      <c r="K173" s="1"/>
      <c r="L173" s="1"/>
    </row>
    <row r="174" spans="1:12">
      <c r="A174" s="1"/>
      <c r="B174" s="1"/>
      <c r="C174" s="1"/>
      <c r="D174" s="7"/>
      <c r="E174" s="7"/>
      <c r="F174" s="7"/>
      <c r="G174" s="7"/>
      <c r="H174" s="7"/>
      <c r="I174" s="7"/>
      <c r="J174" s="7"/>
      <c r="K174" s="1"/>
      <c r="L174" s="1"/>
    </row>
    <row r="175" spans="1:12">
      <c r="A175" s="1">
        <v>52</v>
      </c>
      <c r="B175" s="1" t="s">
        <v>47</v>
      </c>
      <c r="C175" s="1" t="s">
        <v>12</v>
      </c>
      <c r="D175" s="7">
        <v>15357.41</v>
      </c>
      <c r="E175" s="7">
        <v>122.5</v>
      </c>
      <c r="F175" s="7">
        <v>0.3</v>
      </c>
      <c r="G175" s="7">
        <v>0.56999999999999995</v>
      </c>
      <c r="H175" s="7">
        <v>0.56999999999999995</v>
      </c>
      <c r="I175" s="7"/>
      <c r="J175" s="7">
        <f>SUM(D175:H175)</f>
        <v>15481.349999999999</v>
      </c>
      <c r="K175" s="1"/>
      <c r="L175" s="1"/>
    </row>
    <row r="176" spans="1:12">
      <c r="A176" s="1"/>
      <c r="B176" s="1"/>
      <c r="C176" s="1" t="s">
        <v>13</v>
      </c>
      <c r="D176" s="7">
        <v>1650.56</v>
      </c>
      <c r="E176" s="7">
        <v>13.31</v>
      </c>
      <c r="F176" s="7">
        <v>0.38</v>
      </c>
      <c r="G176" s="7">
        <v>0.1</v>
      </c>
      <c r="H176" s="7">
        <v>0.05</v>
      </c>
      <c r="I176" s="7"/>
      <c r="J176" s="7">
        <f>SUM(D176:H176)</f>
        <v>1664.3999999999999</v>
      </c>
      <c r="K176" s="1"/>
      <c r="L176" s="1"/>
    </row>
    <row r="177" spans="1:12">
      <c r="A177" s="1"/>
      <c r="B177" s="1"/>
      <c r="C177" s="1" t="s">
        <v>10</v>
      </c>
      <c r="D177" s="7">
        <f>SUM(D175:D176)</f>
        <v>17007.97</v>
      </c>
      <c r="E177" s="7">
        <f>SUM(E175:E176)</f>
        <v>135.81</v>
      </c>
      <c r="F177" s="7">
        <f>SUM(F175:F176)</f>
        <v>0.67999999999999994</v>
      </c>
      <c r="G177" s="7">
        <f>SUM(G175:G176)</f>
        <v>0.66999999999999993</v>
      </c>
      <c r="H177" s="7">
        <f>SUM(H175:H176)</f>
        <v>0.62</v>
      </c>
      <c r="I177" s="7"/>
      <c r="J177" s="7">
        <f>SUM(D177:H177)</f>
        <v>17145.75</v>
      </c>
      <c r="K177" s="1"/>
      <c r="L177" s="1"/>
    </row>
    <row r="178" spans="1:12">
      <c r="A178" s="1"/>
      <c r="B178" s="1"/>
      <c r="C178" s="1"/>
      <c r="D178" s="7"/>
      <c r="E178" s="7"/>
      <c r="F178" s="7"/>
      <c r="G178" s="7"/>
      <c r="H178" s="7"/>
      <c r="I178" s="7"/>
      <c r="J178" s="7"/>
      <c r="K178" s="1"/>
      <c r="L178" s="1"/>
    </row>
    <row r="179" spans="1:12">
      <c r="A179" s="1"/>
      <c r="B179" s="1"/>
      <c r="C179" s="1"/>
      <c r="D179" s="7"/>
      <c r="E179" s="7"/>
      <c r="F179" s="7"/>
      <c r="G179" s="7"/>
      <c r="H179" s="7"/>
      <c r="I179" s="7"/>
      <c r="J179" s="7"/>
      <c r="K179" s="1"/>
      <c r="L179" s="1"/>
    </row>
    <row r="180" spans="1:12">
      <c r="A180" s="1">
        <v>53</v>
      </c>
      <c r="B180" s="1" t="s">
        <v>48</v>
      </c>
      <c r="C180" s="1" t="s">
        <v>12</v>
      </c>
      <c r="D180" s="7">
        <v>19758.509999999998</v>
      </c>
      <c r="E180" s="7">
        <v>221.82</v>
      </c>
      <c r="F180" s="7">
        <v>130.65</v>
      </c>
      <c r="G180" s="7">
        <v>70.25</v>
      </c>
      <c r="H180" s="7">
        <v>36.11</v>
      </c>
      <c r="I180" s="7"/>
      <c r="J180" s="7">
        <f>SUM(D180:H180)</f>
        <v>20217.34</v>
      </c>
      <c r="K180" s="1"/>
      <c r="L180" s="1"/>
    </row>
    <row r="181" spans="1:12">
      <c r="A181" s="1"/>
      <c r="B181" s="1"/>
      <c r="C181" s="1" t="s">
        <v>35</v>
      </c>
      <c r="D181" s="7">
        <v>828.85</v>
      </c>
      <c r="E181" s="7">
        <v>9.1199999999999992</v>
      </c>
      <c r="F181" s="7">
        <v>5.32</v>
      </c>
      <c r="G181" s="7">
        <v>3.14</v>
      </c>
      <c r="H181" s="7">
        <v>1.63</v>
      </c>
      <c r="I181" s="7"/>
      <c r="J181" s="7">
        <f>SUM(D181:H181)</f>
        <v>848.06000000000006</v>
      </c>
      <c r="K181" s="1"/>
      <c r="L181" s="1"/>
    </row>
    <row r="182" spans="1:12">
      <c r="A182" s="1"/>
      <c r="B182" s="1"/>
      <c r="C182" s="1" t="s">
        <v>10</v>
      </c>
      <c r="D182" s="7">
        <f>SUM(D180:D181)</f>
        <v>20587.359999999997</v>
      </c>
      <c r="E182" s="7">
        <f>SUM(E180:E181)</f>
        <v>230.94</v>
      </c>
      <c r="F182" s="7">
        <f>SUM(F180:F181)</f>
        <v>135.97</v>
      </c>
      <c r="G182" s="7">
        <f>SUM(G180:G181)</f>
        <v>73.39</v>
      </c>
      <c r="H182" s="7">
        <f>SUM(H180:H181)</f>
        <v>37.74</v>
      </c>
      <c r="I182" s="7"/>
      <c r="J182" s="7">
        <f>SUM(D182:H182)</f>
        <v>21065.399999999998</v>
      </c>
      <c r="K182" s="1"/>
      <c r="L182" s="1"/>
    </row>
    <row r="183" spans="1:12">
      <c r="A183" s="1"/>
      <c r="B183" s="1"/>
      <c r="C183" s="1"/>
      <c r="D183" s="7"/>
      <c r="E183" s="7"/>
      <c r="F183" s="7"/>
      <c r="G183" s="7"/>
      <c r="H183" s="7"/>
      <c r="I183" s="7"/>
      <c r="J183" s="7"/>
      <c r="K183" s="1"/>
      <c r="L183" s="1"/>
    </row>
    <row r="184" spans="1:12">
      <c r="A184" s="1"/>
      <c r="B184" s="1"/>
      <c r="C184" s="1"/>
      <c r="D184" s="7"/>
      <c r="E184" s="7"/>
      <c r="F184" s="7"/>
      <c r="G184" s="7"/>
      <c r="H184" s="7"/>
      <c r="I184" s="7"/>
      <c r="J184" s="7"/>
      <c r="K184" s="1"/>
      <c r="L184" s="1"/>
    </row>
    <row r="185" spans="1:12">
      <c r="A185" s="1">
        <v>54</v>
      </c>
      <c r="B185" s="1" t="s">
        <v>49</v>
      </c>
      <c r="C185" s="1" t="s">
        <v>12</v>
      </c>
      <c r="D185" s="7">
        <v>11503.75</v>
      </c>
      <c r="E185" s="7">
        <v>530.76</v>
      </c>
      <c r="F185" s="7">
        <v>344.72</v>
      </c>
      <c r="G185" s="7">
        <v>78.510000000000005</v>
      </c>
      <c r="H185" s="7">
        <v>0</v>
      </c>
      <c r="I185" s="7"/>
      <c r="J185" s="7">
        <f>SUM(D185:H185)</f>
        <v>12457.74</v>
      </c>
      <c r="K185" s="1"/>
      <c r="L185" s="1"/>
    </row>
    <row r="186" spans="1:12">
      <c r="A186" s="1"/>
      <c r="B186" s="1"/>
      <c r="C186" s="1"/>
      <c r="D186" s="7"/>
      <c r="E186" s="7"/>
      <c r="F186" s="7"/>
      <c r="G186" s="7"/>
      <c r="H186" s="7"/>
      <c r="I186" s="7"/>
      <c r="J186" s="7">
        <f>SUM(D186:H186)</f>
        <v>0</v>
      </c>
      <c r="K186" s="1"/>
      <c r="L186" s="1"/>
    </row>
    <row r="187" spans="1:12">
      <c r="A187" s="1"/>
      <c r="B187" s="1"/>
      <c r="C187" s="1" t="s">
        <v>10</v>
      </c>
      <c r="D187" s="7">
        <f>SUM(D185:D186)</f>
        <v>11503.75</v>
      </c>
      <c r="E187" s="7">
        <f>SUM(E185:E186)</f>
        <v>530.76</v>
      </c>
      <c r="F187" s="7">
        <f>SUM(F185:F186)</f>
        <v>344.72</v>
      </c>
      <c r="G187" s="7">
        <f>SUM(G185:G186)</f>
        <v>78.510000000000005</v>
      </c>
      <c r="H187" s="7">
        <f>SUM(H185:H186)</f>
        <v>0</v>
      </c>
      <c r="I187" s="7"/>
      <c r="J187" s="7">
        <f>SUM(D187:H187)</f>
        <v>12457.74</v>
      </c>
      <c r="K187" s="1"/>
      <c r="L187" s="1"/>
    </row>
    <row r="188" spans="1:12">
      <c r="A188" s="1"/>
      <c r="B188" s="1"/>
      <c r="C188" s="1"/>
      <c r="D188" s="7"/>
      <c r="E188" s="7"/>
      <c r="F188" s="7"/>
      <c r="G188" s="7"/>
      <c r="H188" s="7"/>
      <c r="I188" s="7"/>
      <c r="J188" s="7"/>
      <c r="K188" s="1"/>
      <c r="L188" s="1"/>
    </row>
    <row r="189" spans="1:12">
      <c r="A189" s="1"/>
      <c r="B189" s="1"/>
      <c r="C189" s="1"/>
      <c r="D189" s="7"/>
      <c r="E189" s="7"/>
      <c r="F189" s="7"/>
      <c r="G189" s="7"/>
      <c r="H189" s="7"/>
      <c r="I189" s="7"/>
      <c r="J189" s="7"/>
      <c r="K189" s="1"/>
      <c r="L189" s="1"/>
    </row>
    <row r="190" spans="1:12">
      <c r="A190" s="1">
        <v>55</v>
      </c>
      <c r="B190" s="1" t="s">
        <v>50</v>
      </c>
      <c r="C190" s="1" t="s">
        <v>12</v>
      </c>
      <c r="D190" s="7">
        <v>14839.43</v>
      </c>
      <c r="E190" s="7">
        <v>328.94</v>
      </c>
      <c r="F190" s="7">
        <v>171.25</v>
      </c>
      <c r="G190" s="7">
        <v>58.75</v>
      </c>
      <c r="H190" s="7">
        <v>36.96</v>
      </c>
      <c r="I190" s="7"/>
      <c r="J190" s="7">
        <f>SUM(D190:H190)</f>
        <v>15435.33</v>
      </c>
      <c r="K190" s="1"/>
      <c r="L190" s="1"/>
    </row>
    <row r="191" spans="1:12">
      <c r="A191" s="1"/>
      <c r="B191" s="1"/>
      <c r="C191" s="1" t="s">
        <v>13</v>
      </c>
      <c r="D191" s="7">
        <v>379.65</v>
      </c>
      <c r="E191" s="7">
        <v>7.98</v>
      </c>
      <c r="F191" s="7">
        <v>4.24</v>
      </c>
      <c r="G191" s="7">
        <v>1.46</v>
      </c>
      <c r="H191" s="7">
        <v>0.64</v>
      </c>
      <c r="I191" s="7"/>
      <c r="J191" s="7">
        <f>SUM(D191:H191)</f>
        <v>393.96999999999997</v>
      </c>
      <c r="K191" s="1"/>
      <c r="L191" s="1"/>
    </row>
    <row r="192" spans="1:12">
      <c r="A192" s="1"/>
      <c r="B192" s="1"/>
      <c r="C192" s="1" t="s">
        <v>10</v>
      </c>
      <c r="D192" s="7">
        <f>SUM(D190:D191)</f>
        <v>15219.08</v>
      </c>
      <c r="E192" s="7">
        <f>SUM(E190:E191)</f>
        <v>336.92</v>
      </c>
      <c r="F192" s="7">
        <f>SUM(F190:F191)</f>
        <v>175.49</v>
      </c>
      <c r="G192" s="7">
        <f>SUM(G190:G191)</f>
        <v>60.21</v>
      </c>
      <c r="H192" s="7">
        <f>SUM(H190:H191)</f>
        <v>37.6</v>
      </c>
      <c r="I192" s="7"/>
      <c r="J192" s="7">
        <f>SUM(D192:H192)</f>
        <v>15829.3</v>
      </c>
      <c r="K192" s="1"/>
      <c r="L192" s="1"/>
    </row>
    <row r="193" spans="1:12">
      <c r="A193" s="1"/>
      <c r="B193" s="1"/>
      <c r="C193" s="1"/>
      <c r="D193" s="7"/>
      <c r="E193" s="7"/>
      <c r="F193" s="7"/>
      <c r="G193" s="7"/>
      <c r="H193" s="7"/>
      <c r="I193" s="7"/>
      <c r="J193" s="7"/>
      <c r="K193" s="1"/>
      <c r="L193" s="1"/>
    </row>
    <row r="194" spans="1:12">
      <c r="A194" s="1"/>
      <c r="B194" s="1"/>
      <c r="C194" s="1"/>
      <c r="D194" s="7"/>
      <c r="E194" s="7"/>
      <c r="F194" s="7"/>
      <c r="G194" s="7"/>
      <c r="H194" s="7"/>
      <c r="I194" s="7"/>
      <c r="J194" s="7"/>
      <c r="K194" s="1"/>
      <c r="L194" s="1"/>
    </row>
    <row r="195" spans="1:12">
      <c r="A195" s="1">
        <v>56</v>
      </c>
      <c r="B195" s="1" t="s">
        <v>51</v>
      </c>
      <c r="C195" s="1" t="s">
        <v>12</v>
      </c>
      <c r="D195" s="7">
        <v>9626.39</v>
      </c>
      <c r="E195" s="7">
        <v>696.51</v>
      </c>
      <c r="F195" s="7">
        <v>186.43</v>
      </c>
      <c r="G195" s="7">
        <v>60.99</v>
      </c>
      <c r="H195" s="7">
        <v>0</v>
      </c>
      <c r="I195" s="7"/>
      <c r="J195" s="7">
        <f>SUM(D195:H195)</f>
        <v>10570.32</v>
      </c>
      <c r="K195" s="1"/>
      <c r="L195" s="1"/>
    </row>
    <row r="196" spans="1:12">
      <c r="A196" s="1"/>
      <c r="B196" s="1"/>
      <c r="C196" s="1" t="s">
        <v>13</v>
      </c>
      <c r="D196" s="7">
        <v>174.43</v>
      </c>
      <c r="E196" s="7">
        <v>12.35</v>
      </c>
      <c r="F196" s="7">
        <v>3.42</v>
      </c>
      <c r="G196" s="7">
        <v>1.2</v>
      </c>
      <c r="H196" s="7">
        <v>0</v>
      </c>
      <c r="I196" s="7"/>
      <c r="J196" s="7">
        <f>SUM(D196:H196)</f>
        <v>191.39999999999998</v>
      </c>
      <c r="K196" s="1"/>
      <c r="L196" s="1"/>
    </row>
    <row r="197" spans="1:12">
      <c r="A197" s="1"/>
      <c r="B197" s="1"/>
      <c r="C197" s="1" t="s">
        <v>10</v>
      </c>
      <c r="D197" s="7">
        <f>SUM(D195:D196)</f>
        <v>9800.82</v>
      </c>
      <c r="E197" s="7">
        <f>SUM(E195:E196)</f>
        <v>708.86</v>
      </c>
      <c r="F197" s="7">
        <f>SUM(F195:F196)</f>
        <v>189.85</v>
      </c>
      <c r="G197" s="7">
        <f>SUM(G195:G196)</f>
        <v>62.190000000000005</v>
      </c>
      <c r="H197" s="7">
        <f>SUM(H195:H196)</f>
        <v>0</v>
      </c>
      <c r="I197" s="7"/>
      <c r="J197" s="7">
        <f>SUM(D197:H197)</f>
        <v>10761.720000000001</v>
      </c>
      <c r="K197" s="1"/>
      <c r="L197" s="1"/>
    </row>
    <row r="198" spans="1:12">
      <c r="A198" s="1"/>
      <c r="B198" s="1"/>
      <c r="C198" s="1"/>
      <c r="D198" s="7"/>
      <c r="E198" s="7"/>
      <c r="F198" s="7"/>
      <c r="G198" s="7"/>
      <c r="H198" s="7"/>
      <c r="I198" s="7"/>
      <c r="J198" s="7"/>
      <c r="K198" s="1"/>
      <c r="L198" s="1"/>
    </row>
    <row r="199" spans="1:12">
      <c r="A199" s="1"/>
      <c r="B199" s="1"/>
      <c r="C199" s="1"/>
      <c r="D199" s="7"/>
      <c r="E199" s="7"/>
      <c r="F199" s="7"/>
      <c r="G199" s="7"/>
      <c r="H199" s="7"/>
      <c r="I199" s="7"/>
      <c r="J199" s="7"/>
      <c r="K199" s="1"/>
      <c r="L199" s="1"/>
    </row>
    <row r="200" spans="1:12">
      <c r="A200" s="1">
        <v>57</v>
      </c>
      <c r="B200" s="1" t="s">
        <v>52</v>
      </c>
      <c r="C200" s="1" t="s">
        <v>12</v>
      </c>
      <c r="D200" s="7">
        <v>22000.93</v>
      </c>
      <c r="E200" s="7">
        <v>497.74</v>
      </c>
      <c r="F200" s="7">
        <v>60.38</v>
      </c>
      <c r="G200" s="7">
        <v>4.4800000000000004</v>
      </c>
      <c r="H200" s="7">
        <v>4.7</v>
      </c>
      <c r="I200" s="7"/>
      <c r="J200" s="7">
        <f>SUM(D200:H200)</f>
        <v>22568.230000000003</v>
      </c>
      <c r="K200" s="1"/>
      <c r="L200" s="1"/>
    </row>
    <row r="201" spans="1:12">
      <c r="A201" s="1"/>
      <c r="B201" s="1"/>
      <c r="C201" s="1" t="s">
        <v>13</v>
      </c>
      <c r="D201" s="7">
        <v>437.47</v>
      </c>
      <c r="E201" s="7">
        <v>9.7100000000000009</v>
      </c>
      <c r="F201" s="7">
        <v>0.65</v>
      </c>
      <c r="G201" s="7">
        <v>0.11</v>
      </c>
      <c r="H201" s="7">
        <v>0.06</v>
      </c>
      <c r="I201" s="7"/>
      <c r="J201" s="7">
        <f>SUM(D201:H201)</f>
        <v>448</v>
      </c>
      <c r="K201" s="1"/>
      <c r="L201" s="1"/>
    </row>
    <row r="202" spans="1:12">
      <c r="A202" s="1"/>
      <c r="B202" s="1"/>
      <c r="C202" s="1" t="s">
        <v>10</v>
      </c>
      <c r="D202" s="7">
        <f>SUM(D200:D201)</f>
        <v>22438.400000000001</v>
      </c>
      <c r="E202" s="7">
        <f>SUM(E200:E201)</f>
        <v>507.45</v>
      </c>
      <c r="F202" s="7">
        <f>SUM(F200:F201)</f>
        <v>61.03</v>
      </c>
      <c r="G202" s="7">
        <f>SUM(G200:G201)</f>
        <v>4.5900000000000007</v>
      </c>
      <c r="H202" s="7">
        <f>SUM(H200:H201)</f>
        <v>4.76</v>
      </c>
      <c r="I202" s="7"/>
      <c r="J202" s="7">
        <f>SUM(D202:H202)</f>
        <v>23016.23</v>
      </c>
      <c r="K202" s="1"/>
      <c r="L202" s="1"/>
    </row>
    <row r="203" spans="1:12">
      <c r="A203" s="1"/>
      <c r="B203" s="1"/>
      <c r="C203" s="1"/>
      <c r="D203" s="7"/>
      <c r="E203" s="7"/>
      <c r="F203" s="7"/>
      <c r="G203" s="7"/>
      <c r="H203" s="7"/>
      <c r="I203" s="7"/>
      <c r="J203" s="7"/>
      <c r="K203" s="1"/>
      <c r="L203" s="1"/>
    </row>
    <row r="204" spans="1:12">
      <c r="A204" s="1"/>
      <c r="B204" s="1"/>
      <c r="C204" s="1"/>
      <c r="D204" s="7"/>
      <c r="E204" s="7"/>
      <c r="F204" s="7"/>
      <c r="G204" s="7"/>
      <c r="H204" s="7"/>
      <c r="I204" s="7"/>
      <c r="J204" s="7"/>
      <c r="K204" s="1"/>
      <c r="L204" s="1"/>
    </row>
    <row r="205" spans="1:12">
      <c r="A205" s="1">
        <v>58</v>
      </c>
      <c r="B205" s="1" t="s">
        <v>53</v>
      </c>
      <c r="C205" s="1" t="s">
        <v>12</v>
      </c>
      <c r="D205" s="7">
        <v>14835.9</v>
      </c>
      <c r="E205" s="7">
        <v>272.64</v>
      </c>
      <c r="F205" s="7">
        <v>94.25</v>
      </c>
      <c r="G205" s="7">
        <v>0</v>
      </c>
      <c r="H205" s="7">
        <v>0</v>
      </c>
      <c r="I205" s="7"/>
      <c r="J205" s="7">
        <f>SUM(D205:H205)</f>
        <v>15202.789999999999</v>
      </c>
      <c r="K205" s="1"/>
      <c r="L205" s="1"/>
    </row>
    <row r="206" spans="1:12">
      <c r="A206" s="1"/>
      <c r="B206" s="1"/>
      <c r="C206" s="1" t="s">
        <v>13</v>
      </c>
      <c r="D206" s="7">
        <v>319.93</v>
      </c>
      <c r="E206" s="7">
        <v>5.79</v>
      </c>
      <c r="F206" s="7">
        <v>1.2</v>
      </c>
      <c r="G206" s="7">
        <v>0</v>
      </c>
      <c r="H206" s="7">
        <v>0</v>
      </c>
      <c r="I206" s="7"/>
      <c r="J206" s="7">
        <f>SUM(D206:H206)</f>
        <v>326.92</v>
      </c>
      <c r="K206" s="1"/>
      <c r="L206" s="1"/>
    </row>
    <row r="207" spans="1:12">
      <c r="A207" s="1"/>
      <c r="B207" s="1"/>
      <c r="C207" s="1" t="s">
        <v>10</v>
      </c>
      <c r="D207" s="7">
        <f>SUM(D205:D206)</f>
        <v>15155.83</v>
      </c>
      <c r="E207" s="7">
        <f>SUM(E205:E206)</f>
        <v>278.43</v>
      </c>
      <c r="F207" s="7">
        <f>SUM(F205:F206)</f>
        <v>95.45</v>
      </c>
      <c r="G207" s="7">
        <f>SUM(G205:G206)</f>
        <v>0</v>
      </c>
      <c r="H207" s="7">
        <f>SUM(H205:H206)</f>
        <v>0</v>
      </c>
      <c r="I207" s="7"/>
      <c r="J207" s="7">
        <f>SUM(D207:H207)</f>
        <v>15529.710000000001</v>
      </c>
      <c r="K207" s="1"/>
      <c r="L207" s="1"/>
    </row>
    <row r="208" spans="1:12">
      <c r="A208" s="1"/>
      <c r="B208" s="1"/>
      <c r="C208" s="1"/>
      <c r="D208" s="7"/>
      <c r="E208" s="7"/>
      <c r="F208" s="7"/>
      <c r="G208" s="7"/>
      <c r="H208" s="7"/>
      <c r="I208" s="7"/>
      <c r="J208" s="7"/>
      <c r="K208" s="1"/>
      <c r="L208" s="1"/>
    </row>
    <row r="209" spans="1:12">
      <c r="A209" s="1"/>
      <c r="B209" s="1"/>
      <c r="C209" s="1"/>
      <c r="D209" s="7"/>
      <c r="E209" s="7"/>
      <c r="F209" s="7"/>
      <c r="G209" s="7"/>
      <c r="H209" s="7"/>
      <c r="I209" s="7"/>
      <c r="J209" s="7"/>
      <c r="K209" s="1"/>
      <c r="L209" s="1"/>
    </row>
    <row r="210" spans="1:12">
      <c r="A210" s="1"/>
      <c r="B210" s="1"/>
      <c r="C210" s="1"/>
      <c r="D210" s="7"/>
      <c r="E210" s="7"/>
      <c r="F210" s="7"/>
      <c r="G210" s="7"/>
      <c r="H210" s="7"/>
      <c r="I210" s="7"/>
      <c r="J210" s="7"/>
      <c r="K210" s="1"/>
      <c r="L210" s="1"/>
    </row>
    <row r="211" spans="1:12">
      <c r="A211" s="1">
        <v>59</v>
      </c>
      <c r="B211" s="1" t="s">
        <v>54</v>
      </c>
      <c r="C211" s="1" t="s">
        <v>12</v>
      </c>
      <c r="D211" s="7">
        <v>14520.79</v>
      </c>
      <c r="E211" s="7">
        <v>250.03</v>
      </c>
      <c r="F211" s="7">
        <v>53.31</v>
      </c>
      <c r="G211" s="7">
        <v>51.59</v>
      </c>
      <c r="H211" s="7">
        <v>0</v>
      </c>
      <c r="I211" s="7"/>
      <c r="J211" s="7">
        <f>SUM(D211:H211)</f>
        <v>14875.720000000001</v>
      </c>
      <c r="K211" s="1"/>
      <c r="L211" s="1"/>
    </row>
    <row r="212" spans="1:12">
      <c r="A212" s="1"/>
      <c r="B212" s="1"/>
      <c r="C212" s="1" t="s">
        <v>35</v>
      </c>
      <c r="D212" s="7">
        <v>822.79</v>
      </c>
      <c r="E212" s="7">
        <v>14.06</v>
      </c>
      <c r="F212" s="7">
        <v>3.5</v>
      </c>
      <c r="G212" s="7">
        <v>3.21</v>
      </c>
      <c r="H212" s="7">
        <v>0</v>
      </c>
      <c r="I212" s="7"/>
      <c r="J212" s="7">
        <f>SUM(D212:H212)</f>
        <v>843.56</v>
      </c>
      <c r="K212" s="1"/>
      <c r="L212" s="1"/>
    </row>
    <row r="213" spans="1:12">
      <c r="A213" s="1"/>
      <c r="B213" s="1"/>
      <c r="C213" s="1" t="s">
        <v>10</v>
      </c>
      <c r="D213" s="7">
        <f>SUM(D211:D212)</f>
        <v>15343.580000000002</v>
      </c>
      <c r="E213" s="7">
        <f>SUM(E211:E212)</f>
        <v>264.08999999999997</v>
      </c>
      <c r="F213" s="7">
        <f>SUM(F211:F212)</f>
        <v>56.81</v>
      </c>
      <c r="G213" s="7">
        <f>SUM(G211:G212)</f>
        <v>54.800000000000004</v>
      </c>
      <c r="H213" s="7">
        <f>SUM(H211:H212)</f>
        <v>0</v>
      </c>
      <c r="I213" s="7"/>
      <c r="J213" s="7">
        <f>SUM(D213:H213)</f>
        <v>15719.28</v>
      </c>
      <c r="K213" s="1"/>
      <c r="L213" s="1"/>
    </row>
    <row r="214" spans="1:12">
      <c r="A214" s="1"/>
      <c r="B214" s="1"/>
      <c r="C214" s="1"/>
      <c r="D214" s="7"/>
      <c r="E214" s="7"/>
      <c r="F214" s="7"/>
      <c r="G214" s="7"/>
      <c r="H214" s="7"/>
      <c r="I214" s="7"/>
      <c r="J214" s="7"/>
      <c r="K214" s="1"/>
      <c r="L214" s="1"/>
    </row>
    <row r="215" spans="1:12">
      <c r="A215" s="1"/>
      <c r="B215" s="1"/>
      <c r="C215" s="1"/>
      <c r="D215" s="7"/>
      <c r="E215" s="7"/>
      <c r="F215" s="7"/>
      <c r="G215" s="7"/>
      <c r="H215" s="7"/>
      <c r="I215" s="7"/>
      <c r="J215" s="7"/>
      <c r="K215" s="1"/>
      <c r="L215" s="1"/>
    </row>
    <row r="216" spans="1:12">
      <c r="A216" s="1">
        <v>60</v>
      </c>
      <c r="B216" s="1" t="s">
        <v>55</v>
      </c>
      <c r="C216" s="1" t="s">
        <v>12</v>
      </c>
      <c r="D216" s="7">
        <v>42296.959999999999</v>
      </c>
      <c r="E216" s="7">
        <v>525.79</v>
      </c>
      <c r="F216" s="7">
        <v>220.24</v>
      </c>
      <c r="G216" s="7">
        <v>127.19</v>
      </c>
      <c r="H216" s="7">
        <v>67.27</v>
      </c>
      <c r="I216" s="7"/>
      <c r="J216" s="7">
        <f>SUM(D216:H216)</f>
        <v>43237.45</v>
      </c>
      <c r="K216" s="1"/>
      <c r="L216" s="1"/>
    </row>
    <row r="217" spans="1:12">
      <c r="A217" s="1"/>
      <c r="B217" s="1"/>
      <c r="C217" s="1"/>
      <c r="D217" s="7"/>
      <c r="E217" s="7"/>
      <c r="F217" s="7"/>
      <c r="G217" s="7"/>
      <c r="H217" s="7"/>
      <c r="I217" s="7"/>
      <c r="J217" s="7">
        <f>SUM(D217:H217)</f>
        <v>0</v>
      </c>
      <c r="K217" s="1"/>
      <c r="L217" s="1"/>
    </row>
    <row r="218" spans="1:12">
      <c r="A218" s="1"/>
      <c r="B218" s="1"/>
      <c r="C218" s="1" t="s">
        <v>10</v>
      </c>
      <c r="D218" s="7">
        <f>SUM(D216:D217)</f>
        <v>42296.959999999999</v>
      </c>
      <c r="E218" s="7">
        <f>SUM(E216:E217)</f>
        <v>525.79</v>
      </c>
      <c r="F218" s="7">
        <f>SUM(F216:F217)</f>
        <v>220.24</v>
      </c>
      <c r="G218" s="7">
        <f>SUM(G216:G217)</f>
        <v>127.19</v>
      </c>
      <c r="H218" s="7">
        <f>SUM(H216:H217)</f>
        <v>67.27</v>
      </c>
      <c r="I218" s="7"/>
      <c r="J218" s="7">
        <f>SUM(D218:H218)</f>
        <v>43237.45</v>
      </c>
      <c r="K218" s="1"/>
      <c r="L218" s="1"/>
    </row>
    <row r="219" spans="1:12">
      <c r="A219" s="1"/>
      <c r="B219" s="1"/>
      <c r="C219" s="1"/>
      <c r="D219" s="7"/>
      <c r="E219" s="7"/>
      <c r="F219" s="7"/>
      <c r="G219" s="7"/>
      <c r="H219" s="7"/>
      <c r="I219" s="7"/>
      <c r="J219" s="7"/>
      <c r="K219" s="1"/>
      <c r="L219" s="1"/>
    </row>
    <row r="220" spans="1:12">
      <c r="A220" s="1"/>
      <c r="B220" s="1"/>
      <c r="C220" s="1"/>
      <c r="D220" s="7"/>
      <c r="E220" s="7"/>
      <c r="F220" s="7"/>
      <c r="G220" s="7"/>
      <c r="H220" s="7"/>
      <c r="I220" s="7"/>
      <c r="J220" s="7"/>
      <c r="K220" s="1"/>
      <c r="L220" s="1"/>
    </row>
    <row r="221" spans="1:12">
      <c r="A221" s="1">
        <v>61</v>
      </c>
      <c r="B221" s="1" t="s">
        <v>56</v>
      </c>
      <c r="C221" s="1" t="s">
        <v>12</v>
      </c>
      <c r="D221" s="7">
        <v>13321.37</v>
      </c>
      <c r="E221" s="7">
        <v>107.31</v>
      </c>
      <c r="F221" s="7">
        <v>69.42</v>
      </c>
      <c r="G221" s="7">
        <v>55.11</v>
      </c>
      <c r="H221" s="7">
        <v>53.42</v>
      </c>
      <c r="I221" s="7"/>
      <c r="J221" s="7">
        <f>SUM(D221:H221)</f>
        <v>13606.630000000001</v>
      </c>
      <c r="K221" s="1"/>
      <c r="L221" s="1"/>
    </row>
    <row r="222" spans="1:12">
      <c r="A222" s="1"/>
      <c r="B222" s="1"/>
      <c r="C222" s="1" t="s">
        <v>13</v>
      </c>
      <c r="D222" s="7">
        <v>211.78</v>
      </c>
      <c r="E222" s="7">
        <v>1.53</v>
      </c>
      <c r="F222" s="7">
        <v>1.01</v>
      </c>
      <c r="G222" s="7">
        <v>0.87</v>
      </c>
      <c r="H222" s="7">
        <v>0.94</v>
      </c>
      <c r="I222" s="7"/>
      <c r="J222" s="7">
        <f>SUM(D222:H222)</f>
        <v>216.13</v>
      </c>
      <c r="K222" s="1"/>
      <c r="L222" s="1"/>
    </row>
    <row r="223" spans="1:12">
      <c r="A223" s="1"/>
      <c r="B223" s="1"/>
      <c r="C223" s="1" t="s">
        <v>10</v>
      </c>
      <c r="D223" s="7">
        <f>SUM(D221:D222)</f>
        <v>13533.150000000001</v>
      </c>
      <c r="E223" s="7">
        <f>SUM(E221:E222)</f>
        <v>108.84</v>
      </c>
      <c r="F223" s="7">
        <f>SUM(F221:F222)</f>
        <v>70.430000000000007</v>
      </c>
      <c r="G223" s="7">
        <f>SUM(G221:G222)</f>
        <v>55.98</v>
      </c>
      <c r="H223" s="7">
        <f>SUM(H221:H222)</f>
        <v>54.36</v>
      </c>
      <c r="I223" s="7"/>
      <c r="J223" s="7">
        <f>SUM(D223:H223)</f>
        <v>13822.760000000002</v>
      </c>
      <c r="K223" s="1"/>
      <c r="L223" s="1"/>
    </row>
    <row r="224" spans="1:12">
      <c r="A224" s="1"/>
      <c r="B224" s="1"/>
      <c r="C224" s="1"/>
      <c r="D224" s="7"/>
      <c r="E224" s="7"/>
      <c r="F224" s="7"/>
      <c r="G224" s="7"/>
      <c r="H224" s="7"/>
      <c r="I224" s="7"/>
      <c r="J224" s="7"/>
      <c r="K224" s="1"/>
      <c r="L224" s="1"/>
    </row>
    <row r="225" spans="1:12">
      <c r="A225" s="1"/>
      <c r="B225" s="1"/>
      <c r="C225" s="1"/>
      <c r="D225" s="7"/>
      <c r="E225" s="7"/>
      <c r="F225" s="7"/>
      <c r="G225" s="7"/>
      <c r="H225" s="7"/>
      <c r="I225" s="7"/>
      <c r="J225" s="7"/>
      <c r="K225" s="1"/>
      <c r="L225" s="1"/>
    </row>
    <row r="226" spans="1:12">
      <c r="A226" s="1">
        <v>62</v>
      </c>
      <c r="B226" s="1" t="s">
        <v>57</v>
      </c>
      <c r="C226" s="1" t="s">
        <v>12</v>
      </c>
      <c r="D226" s="7">
        <v>7878.85</v>
      </c>
      <c r="E226" s="7">
        <v>484.56</v>
      </c>
      <c r="F226" s="7">
        <v>212.38</v>
      </c>
      <c r="G226" s="7">
        <v>0</v>
      </c>
      <c r="H226" s="7">
        <v>0</v>
      </c>
      <c r="I226" s="7"/>
      <c r="J226" s="7">
        <f>SUM(D226:H226)</f>
        <v>8575.7899999999991</v>
      </c>
      <c r="K226" s="1"/>
      <c r="L226" s="1"/>
    </row>
    <row r="227" spans="1:12">
      <c r="A227" s="1"/>
      <c r="B227" s="1"/>
      <c r="C227" s="1" t="s">
        <v>13</v>
      </c>
      <c r="D227" s="7">
        <v>181.03</v>
      </c>
      <c r="E227" s="7">
        <v>10.94</v>
      </c>
      <c r="F227" s="7">
        <v>4.93</v>
      </c>
      <c r="G227" s="7">
        <v>0</v>
      </c>
      <c r="H227" s="7">
        <v>0</v>
      </c>
      <c r="I227" s="7"/>
      <c r="J227" s="7">
        <f>SUM(D227:H227)</f>
        <v>196.9</v>
      </c>
      <c r="K227" s="1"/>
      <c r="L227" s="1"/>
    </row>
    <row r="228" spans="1:12">
      <c r="A228" s="1"/>
      <c r="B228" s="1"/>
      <c r="C228" s="1" t="s">
        <v>10</v>
      </c>
      <c r="D228" s="7">
        <f>SUM(D226:D227)</f>
        <v>8059.88</v>
      </c>
      <c r="E228" s="7">
        <f>SUM(E226:E227)</f>
        <v>495.5</v>
      </c>
      <c r="F228" s="7">
        <f>SUM(F226:F227)</f>
        <v>217.31</v>
      </c>
      <c r="G228" s="7">
        <f>SUM(G226:G227)</f>
        <v>0</v>
      </c>
      <c r="H228" s="7">
        <f>SUM(H226:H227)</f>
        <v>0</v>
      </c>
      <c r="I228" s="7"/>
      <c r="J228" s="7">
        <f>SUM(D228:H228)</f>
        <v>8772.69</v>
      </c>
      <c r="K228" s="1"/>
      <c r="L228" s="1"/>
    </row>
    <row r="229" spans="1:12">
      <c r="A229" s="1"/>
      <c r="B229" s="1"/>
      <c r="C229" s="1"/>
      <c r="D229" s="7"/>
      <c r="E229" s="7"/>
      <c r="F229" s="7"/>
      <c r="G229" s="7"/>
      <c r="H229" s="7"/>
      <c r="I229" s="7"/>
      <c r="J229" s="7"/>
      <c r="K229" s="1"/>
      <c r="L229" s="1"/>
    </row>
    <row r="230" spans="1:12">
      <c r="A230" s="1"/>
      <c r="B230" s="1"/>
      <c r="C230" s="1"/>
      <c r="D230" s="7"/>
      <c r="E230" s="7"/>
      <c r="F230" s="7"/>
      <c r="G230" s="7"/>
      <c r="H230" s="7"/>
      <c r="I230" s="7"/>
      <c r="J230" s="7"/>
      <c r="K230" s="1"/>
      <c r="L230" s="1"/>
    </row>
    <row r="231" spans="1:12">
      <c r="A231" s="1">
        <v>63</v>
      </c>
      <c r="B231" s="1" t="s">
        <v>58</v>
      </c>
      <c r="C231" s="1" t="s">
        <v>12</v>
      </c>
      <c r="D231" s="7">
        <v>14717.84</v>
      </c>
      <c r="E231" s="7">
        <v>620.42999999999995</v>
      </c>
      <c r="F231" s="7">
        <v>369.94</v>
      </c>
      <c r="G231" s="7">
        <v>301.75</v>
      </c>
      <c r="H231" s="7">
        <v>16.25</v>
      </c>
      <c r="I231" s="7"/>
      <c r="J231" s="7">
        <f>SUM(D231:H231)</f>
        <v>16026.210000000001</v>
      </c>
      <c r="K231" s="1"/>
      <c r="L231" s="1"/>
    </row>
    <row r="232" spans="1:12">
      <c r="A232" s="1"/>
      <c r="B232" s="1"/>
      <c r="C232" s="1" t="s">
        <v>13</v>
      </c>
      <c r="D232" s="7">
        <v>1003.18</v>
      </c>
      <c r="E232" s="7">
        <v>28.04</v>
      </c>
      <c r="F232" s="7">
        <v>16.8</v>
      </c>
      <c r="G232" s="7">
        <v>29.2</v>
      </c>
      <c r="H232" s="7">
        <v>1.69</v>
      </c>
      <c r="I232" s="7"/>
      <c r="J232" s="7">
        <f>SUM(D232:H232)</f>
        <v>1078.9100000000001</v>
      </c>
      <c r="K232" s="1"/>
      <c r="L232" s="1"/>
    </row>
    <row r="233" spans="1:12">
      <c r="A233" s="1"/>
      <c r="B233" s="1"/>
      <c r="C233" s="1" t="s">
        <v>10</v>
      </c>
      <c r="D233" s="7">
        <f>SUM(D231:D232)</f>
        <v>15721.02</v>
      </c>
      <c r="E233" s="7">
        <f>SUM(E231:E232)</f>
        <v>648.46999999999991</v>
      </c>
      <c r="F233" s="7">
        <f>SUM(F231:F232)</f>
        <v>386.74</v>
      </c>
      <c r="G233" s="7">
        <f>SUM(G231:G232)</f>
        <v>330.95</v>
      </c>
      <c r="H233" s="7">
        <f>SUM(H231:H232)</f>
        <v>17.940000000000001</v>
      </c>
      <c r="I233" s="7"/>
      <c r="J233" s="7">
        <f>SUM(D233:H233)</f>
        <v>17105.12</v>
      </c>
      <c r="K233" s="1"/>
      <c r="L233" s="1"/>
    </row>
    <row r="234" spans="1:12">
      <c r="A234" s="1"/>
      <c r="B234" s="1"/>
      <c r="C234" s="1"/>
      <c r="D234" s="7"/>
      <c r="E234" s="7"/>
      <c r="F234" s="7"/>
      <c r="G234" s="7"/>
      <c r="H234" s="7"/>
      <c r="I234" s="7"/>
      <c r="J234" s="7"/>
      <c r="K234" s="1"/>
      <c r="L234" s="1"/>
    </row>
    <row r="235" spans="1:12">
      <c r="A235" s="1"/>
      <c r="B235" s="1"/>
      <c r="C235" s="1"/>
      <c r="D235" s="7"/>
      <c r="E235" s="7"/>
      <c r="F235" s="7"/>
      <c r="G235" s="7"/>
      <c r="H235" s="7"/>
      <c r="I235" s="7"/>
      <c r="J235" s="7"/>
      <c r="K235" s="1"/>
      <c r="L235" s="1"/>
    </row>
    <row r="236" spans="1:12">
      <c r="A236" s="1">
        <v>64</v>
      </c>
      <c r="B236" s="1" t="s">
        <v>59</v>
      </c>
      <c r="C236" s="1" t="s">
        <v>12</v>
      </c>
      <c r="D236" s="7">
        <v>44547.15</v>
      </c>
      <c r="E236" s="7">
        <v>720.5</v>
      </c>
      <c r="F236" s="7">
        <v>360.24</v>
      </c>
      <c r="G236" s="7">
        <v>259.44</v>
      </c>
      <c r="H236" s="7">
        <v>78.37</v>
      </c>
      <c r="I236" s="7"/>
      <c r="J236" s="7">
        <f>SUM(D236:H236)</f>
        <v>45965.700000000004</v>
      </c>
      <c r="K236" s="1"/>
      <c r="L236" s="1"/>
    </row>
    <row r="237" spans="1:12">
      <c r="A237" s="1"/>
      <c r="B237" s="1"/>
      <c r="C237" s="1"/>
      <c r="D237" s="7"/>
      <c r="E237" s="7"/>
      <c r="F237" s="7"/>
      <c r="G237" s="7"/>
      <c r="H237" s="7"/>
      <c r="I237" s="7"/>
      <c r="J237" s="7">
        <f>SUM(D237:H237)</f>
        <v>0</v>
      </c>
      <c r="K237" s="1"/>
      <c r="L237" s="1"/>
    </row>
    <row r="238" spans="1:12">
      <c r="A238" s="1"/>
      <c r="B238" s="1"/>
      <c r="C238" s="1" t="s">
        <v>10</v>
      </c>
      <c r="D238" s="7">
        <f>SUM(D236:D237)</f>
        <v>44547.15</v>
      </c>
      <c r="E238" s="7">
        <f>SUM(E236:E237)</f>
        <v>720.5</v>
      </c>
      <c r="F238" s="7">
        <f>SUM(F236:F237)</f>
        <v>360.24</v>
      </c>
      <c r="G238" s="7">
        <f>SUM(G236:G237)</f>
        <v>259.44</v>
      </c>
      <c r="H238" s="7">
        <f>SUM(H236:H237)</f>
        <v>78.37</v>
      </c>
      <c r="I238" s="7"/>
      <c r="J238" s="7">
        <f>SUM(D238:H238)</f>
        <v>45965.700000000004</v>
      </c>
      <c r="K238" s="1"/>
      <c r="L238" s="1"/>
    </row>
    <row r="239" spans="1:12">
      <c r="A239" s="1"/>
      <c r="B239" s="1"/>
      <c r="C239" s="1"/>
      <c r="D239" s="7"/>
      <c r="E239" s="7"/>
      <c r="F239" s="7"/>
      <c r="G239" s="7"/>
      <c r="H239" s="7"/>
      <c r="I239" s="7"/>
      <c r="J239" s="7"/>
      <c r="K239" s="1"/>
      <c r="L239" s="1"/>
    </row>
    <row r="240" spans="1:12">
      <c r="A240" s="1"/>
      <c r="B240" s="1"/>
      <c r="C240" s="1"/>
      <c r="D240" s="7"/>
      <c r="E240" s="7"/>
      <c r="F240" s="7"/>
      <c r="G240" s="7"/>
      <c r="H240" s="7"/>
      <c r="I240" s="7"/>
      <c r="J240" s="7"/>
      <c r="K240" s="1"/>
      <c r="L240" s="1"/>
    </row>
    <row r="241" spans="1:12">
      <c r="A241" s="1">
        <v>65</v>
      </c>
      <c r="B241" s="1" t="s">
        <v>60</v>
      </c>
      <c r="C241" s="1" t="s">
        <v>12</v>
      </c>
      <c r="D241" s="7">
        <v>7287.16</v>
      </c>
      <c r="E241" s="7">
        <v>80.22</v>
      </c>
      <c r="F241" s="7">
        <v>0</v>
      </c>
      <c r="G241" s="7">
        <v>0</v>
      </c>
      <c r="H241" s="7">
        <v>0</v>
      </c>
      <c r="I241" s="7"/>
      <c r="J241" s="7">
        <f>SUM(D241:H241)</f>
        <v>7367.38</v>
      </c>
      <c r="K241" s="1"/>
      <c r="L241" s="1"/>
    </row>
    <row r="242" spans="1:12">
      <c r="A242" s="1"/>
      <c r="B242" s="1"/>
      <c r="C242" s="1" t="s">
        <v>13</v>
      </c>
      <c r="D242" s="7"/>
      <c r="E242" s="7"/>
      <c r="F242" s="7">
        <v>0</v>
      </c>
      <c r="G242" s="7">
        <v>0</v>
      </c>
      <c r="H242" s="7">
        <v>0</v>
      </c>
      <c r="I242" s="7"/>
      <c r="J242" s="7">
        <f>SUM(D242:H242)</f>
        <v>0</v>
      </c>
      <c r="K242" s="1"/>
      <c r="L242" s="1"/>
    </row>
    <row r="243" spans="1:12">
      <c r="A243" s="1"/>
      <c r="B243" s="1"/>
      <c r="C243" s="1" t="s">
        <v>10</v>
      </c>
      <c r="D243" s="7">
        <f>SUM(D241:D242)</f>
        <v>7287.16</v>
      </c>
      <c r="E243" s="7">
        <f>SUM(E241:E242)</f>
        <v>80.22</v>
      </c>
      <c r="F243" s="7">
        <f>SUM(F241:F242)</f>
        <v>0</v>
      </c>
      <c r="G243" s="7">
        <f>SUM(G241:G242)</f>
        <v>0</v>
      </c>
      <c r="H243" s="7">
        <f>SUM(H241:H242)</f>
        <v>0</v>
      </c>
      <c r="I243" s="7"/>
      <c r="J243" s="7">
        <f>SUM(D243:H243)</f>
        <v>7367.38</v>
      </c>
      <c r="K243" s="1"/>
      <c r="L243" s="1"/>
    </row>
    <row r="244" spans="1:12">
      <c r="A244" s="1"/>
      <c r="B244" s="1"/>
      <c r="C244" s="1"/>
      <c r="D244" s="7"/>
      <c r="E244" s="7"/>
      <c r="F244" s="7"/>
      <c r="G244" s="7"/>
      <c r="H244" s="7"/>
      <c r="I244" s="7"/>
      <c r="J244" s="7"/>
      <c r="K244" s="1"/>
      <c r="L244" s="1"/>
    </row>
    <row r="245" spans="1:12">
      <c r="A245" s="1"/>
      <c r="B245" s="1"/>
      <c r="C245" s="1"/>
      <c r="D245" s="7"/>
      <c r="E245" s="7"/>
      <c r="F245" s="7"/>
      <c r="G245" s="7"/>
      <c r="H245" s="7"/>
      <c r="I245" s="7"/>
      <c r="J245" s="7"/>
      <c r="K245" s="1"/>
      <c r="L245" s="1"/>
    </row>
    <row r="246" spans="1:12">
      <c r="A246" s="1">
        <v>66</v>
      </c>
      <c r="B246" s="1" t="s">
        <v>61</v>
      </c>
      <c r="C246" s="1" t="s">
        <v>12</v>
      </c>
      <c r="D246" s="7">
        <v>15078.6</v>
      </c>
      <c r="E246" s="7">
        <v>1045.95</v>
      </c>
      <c r="F246" s="7">
        <v>456.73</v>
      </c>
      <c r="G246" s="7">
        <v>318.29000000000002</v>
      </c>
      <c r="H246" s="7">
        <v>300.95</v>
      </c>
      <c r="I246" s="7"/>
      <c r="J246" s="7">
        <f>SUM(D246:H246)</f>
        <v>17200.520000000004</v>
      </c>
      <c r="K246" s="1"/>
      <c r="L246" s="1"/>
    </row>
    <row r="247" spans="1:12">
      <c r="A247" s="1"/>
      <c r="B247" s="1"/>
      <c r="C247" s="1" t="s">
        <v>13</v>
      </c>
      <c r="D247" s="7">
        <v>1490.46</v>
      </c>
      <c r="E247" s="7">
        <v>103.54</v>
      </c>
      <c r="F247" s="7">
        <v>22.49</v>
      </c>
      <c r="G247" s="7">
        <v>28.52</v>
      </c>
      <c r="H247" s="7">
        <v>20.85</v>
      </c>
      <c r="I247" s="7"/>
      <c r="J247" s="7">
        <f>SUM(D247:H247)</f>
        <v>1665.86</v>
      </c>
      <c r="K247" s="1"/>
      <c r="L247" s="1"/>
    </row>
    <row r="248" spans="1:12">
      <c r="A248" s="1"/>
      <c r="B248" s="1"/>
      <c r="C248" s="1" t="s">
        <v>73</v>
      </c>
      <c r="D248" s="7">
        <v>997.05</v>
      </c>
      <c r="E248" s="7"/>
      <c r="F248" s="7"/>
      <c r="G248" s="7"/>
      <c r="H248" s="7"/>
      <c r="I248" s="7"/>
      <c r="J248" s="7">
        <f>SUM(D248:H248)</f>
        <v>997.05</v>
      </c>
      <c r="K248" s="1"/>
      <c r="L248" s="1"/>
    </row>
    <row r="249" spans="1:12">
      <c r="A249" s="1"/>
      <c r="B249" s="1"/>
      <c r="C249" s="1" t="s">
        <v>10</v>
      </c>
      <c r="D249" s="7">
        <f>SUM(D246:D248)</f>
        <v>17566.11</v>
      </c>
      <c r="E249" s="7">
        <f>SUM(E246:E248)</f>
        <v>1149.49</v>
      </c>
      <c r="F249" s="7">
        <f>SUM(F246:F248)</f>
        <v>479.22</v>
      </c>
      <c r="G249" s="7">
        <f>SUM(G246:G248)</f>
        <v>346.81</v>
      </c>
      <c r="H249" s="7">
        <f>SUM(H246:H248)</f>
        <v>321.8</v>
      </c>
      <c r="I249" s="7"/>
      <c r="J249" s="7">
        <f>SUM(D249:H249)</f>
        <v>19863.430000000004</v>
      </c>
      <c r="K249" s="1"/>
      <c r="L249" s="1"/>
    </row>
    <row r="250" spans="1:12">
      <c r="A250" s="1"/>
      <c r="B250" s="1"/>
      <c r="C250" s="1"/>
      <c r="D250" s="7"/>
      <c r="E250" s="7"/>
      <c r="F250" s="7"/>
      <c r="G250" s="7"/>
      <c r="H250" s="7"/>
      <c r="I250" s="7"/>
      <c r="J250" s="7"/>
      <c r="K250" s="1"/>
      <c r="L250" s="1"/>
    </row>
    <row r="251" spans="1:12">
      <c r="A251" s="1"/>
      <c r="B251" s="1"/>
      <c r="C251" s="1"/>
      <c r="D251" s="7"/>
      <c r="E251" s="7"/>
      <c r="F251" s="7"/>
      <c r="G251" s="7"/>
      <c r="H251" s="7"/>
      <c r="I251" s="7"/>
      <c r="J251" s="7"/>
      <c r="K251" s="1"/>
      <c r="L251" s="1"/>
    </row>
    <row r="252" spans="1:12">
      <c r="A252" s="1">
        <v>67</v>
      </c>
      <c r="B252" s="1" t="s">
        <v>62</v>
      </c>
      <c r="C252" s="1" t="s">
        <v>12</v>
      </c>
      <c r="D252" s="7">
        <v>10336.129999999999</v>
      </c>
      <c r="E252" s="7">
        <v>211.16</v>
      </c>
      <c r="F252" s="7">
        <v>81.12</v>
      </c>
      <c r="G252" s="7">
        <v>9.8800000000000008</v>
      </c>
      <c r="H252" s="7">
        <v>9.6999999999999993</v>
      </c>
      <c r="I252" s="7"/>
      <c r="J252" s="7">
        <f>SUM(D252:H252)</f>
        <v>10647.99</v>
      </c>
      <c r="K252" s="1"/>
      <c r="L252" s="1"/>
    </row>
    <row r="253" spans="1:12">
      <c r="A253" s="1"/>
      <c r="B253" s="1"/>
      <c r="C253" s="1" t="s">
        <v>13</v>
      </c>
      <c r="D253" s="7">
        <v>268.64</v>
      </c>
      <c r="E253" s="7">
        <v>5.23</v>
      </c>
      <c r="F253" s="7">
        <v>3.45</v>
      </c>
      <c r="G253" s="7">
        <v>0.19</v>
      </c>
      <c r="H253" s="7">
        <v>0.23</v>
      </c>
      <c r="I253" s="7"/>
      <c r="J253" s="7">
        <f>SUM(D253:H253)</f>
        <v>277.74</v>
      </c>
      <c r="K253" s="1"/>
      <c r="L253" s="1"/>
    </row>
    <row r="254" spans="1:12">
      <c r="A254" s="1"/>
      <c r="B254" s="1"/>
      <c r="C254" s="1" t="s">
        <v>10</v>
      </c>
      <c r="D254" s="7">
        <f>SUM(D252:D253)</f>
        <v>10604.769999999999</v>
      </c>
      <c r="E254" s="7">
        <f>SUM(E252:E253)</f>
        <v>216.39</v>
      </c>
      <c r="F254" s="7">
        <f>SUM(F252:F253)</f>
        <v>84.570000000000007</v>
      </c>
      <c r="G254" s="7">
        <f>SUM(G252:G253)</f>
        <v>10.07</v>
      </c>
      <c r="H254" s="7">
        <f>SUM(H252:H253)</f>
        <v>9.93</v>
      </c>
      <c r="I254" s="7"/>
      <c r="J254" s="7">
        <f>SUM(D254:H254)</f>
        <v>10925.729999999998</v>
      </c>
      <c r="K254" s="1"/>
      <c r="L254" s="1"/>
    </row>
    <row r="255" spans="1:12">
      <c r="A255" s="1"/>
      <c r="B255" s="1"/>
      <c r="C255" s="1"/>
      <c r="D255" s="7"/>
      <c r="E255" s="7"/>
      <c r="F255" s="7"/>
      <c r="G255" s="7"/>
      <c r="H255" s="7"/>
      <c r="I255" s="7"/>
      <c r="J255" s="7"/>
      <c r="K255" s="1"/>
      <c r="L255" s="1"/>
    </row>
    <row r="256" spans="1:12">
      <c r="A256" s="1"/>
      <c r="B256" s="1"/>
      <c r="C256" s="1"/>
      <c r="D256" s="7"/>
      <c r="E256" s="7"/>
      <c r="F256" s="7"/>
      <c r="G256" s="7"/>
      <c r="H256" s="7"/>
      <c r="I256" s="7"/>
      <c r="J256" s="7"/>
      <c r="K256" s="1"/>
      <c r="L256" s="1"/>
    </row>
    <row r="257" spans="1:12">
      <c r="A257" s="1">
        <v>68</v>
      </c>
      <c r="B257" s="1" t="s">
        <v>63</v>
      </c>
      <c r="C257" s="1" t="s">
        <v>12</v>
      </c>
      <c r="D257" s="7">
        <v>10228.06</v>
      </c>
      <c r="E257" s="7">
        <v>166.15</v>
      </c>
      <c r="F257" s="7">
        <v>165.29</v>
      </c>
      <c r="G257" s="7">
        <v>67.58</v>
      </c>
      <c r="H257" s="7">
        <v>72.900000000000006</v>
      </c>
      <c r="I257" s="7"/>
      <c r="J257" s="7">
        <f>SUM(D257:H257)</f>
        <v>10699.98</v>
      </c>
      <c r="K257" s="1"/>
      <c r="L257" s="1"/>
    </row>
    <row r="258" spans="1:12">
      <c r="A258" s="1"/>
      <c r="B258" s="1"/>
      <c r="C258" s="1" t="s">
        <v>13</v>
      </c>
      <c r="D258" s="7">
        <v>801.63</v>
      </c>
      <c r="E258" s="7">
        <v>12.94</v>
      </c>
      <c r="F258" s="7">
        <v>6.61</v>
      </c>
      <c r="G258" s="7">
        <v>5.15</v>
      </c>
      <c r="H258" s="7">
        <v>4.0599999999999996</v>
      </c>
      <c r="I258" s="7"/>
      <c r="J258" s="7">
        <f>SUM(D258:H258)</f>
        <v>830.39</v>
      </c>
      <c r="K258" s="1"/>
      <c r="L258" s="1"/>
    </row>
    <row r="259" spans="1:12">
      <c r="A259" s="1"/>
      <c r="B259" s="1"/>
      <c r="C259" s="1" t="s">
        <v>10</v>
      </c>
      <c r="D259" s="7">
        <f>SUM(D257:D258)</f>
        <v>11029.689999999999</v>
      </c>
      <c r="E259" s="7">
        <f>SUM(E257:E258)</f>
        <v>179.09</v>
      </c>
      <c r="F259" s="7">
        <f>SUM(F257:F258)</f>
        <v>171.9</v>
      </c>
      <c r="G259" s="7">
        <f>SUM(G257:G258)</f>
        <v>72.73</v>
      </c>
      <c r="H259" s="7">
        <f>SUM(H257:H258)</f>
        <v>76.960000000000008</v>
      </c>
      <c r="I259" s="7"/>
      <c r="J259" s="7">
        <f>SUM(D259:H259)</f>
        <v>11530.369999999997</v>
      </c>
      <c r="K259" s="1"/>
      <c r="L259" s="1"/>
    </row>
    <row r="260" spans="1:12">
      <c r="A260" s="1"/>
      <c r="B260" s="1"/>
      <c r="C260" s="1"/>
      <c r="D260" s="7"/>
      <c r="E260" s="7"/>
      <c r="F260" s="7"/>
      <c r="G260" s="7"/>
      <c r="H260" s="7"/>
      <c r="I260" s="7"/>
      <c r="J260" s="7"/>
      <c r="K260" s="1"/>
      <c r="L260" s="1"/>
    </row>
    <row r="261" spans="1:12">
      <c r="A261" s="1"/>
      <c r="B261" s="1"/>
      <c r="C261" s="1"/>
      <c r="D261" s="7"/>
      <c r="E261" s="7"/>
      <c r="F261" s="7"/>
      <c r="G261" s="7"/>
      <c r="H261" s="7"/>
      <c r="I261" s="7"/>
      <c r="J261" s="7"/>
      <c r="K261" s="1"/>
      <c r="L261" s="1"/>
    </row>
    <row r="262" spans="1:12">
      <c r="A262" s="1">
        <v>69</v>
      </c>
      <c r="B262" s="1" t="s">
        <v>64</v>
      </c>
      <c r="C262" s="1" t="s">
        <v>12</v>
      </c>
      <c r="D262" s="7">
        <v>14275.19</v>
      </c>
      <c r="E262" s="7">
        <v>324.23</v>
      </c>
      <c r="F262" s="7">
        <v>257.2</v>
      </c>
      <c r="G262" s="7">
        <v>3.75</v>
      </c>
      <c r="H262" s="7">
        <v>0</v>
      </c>
      <c r="I262" s="7"/>
      <c r="J262" s="7">
        <f>SUM(D262:H262)</f>
        <v>14860.37</v>
      </c>
      <c r="K262" s="1"/>
      <c r="L262" s="1"/>
    </row>
    <row r="263" spans="1:12">
      <c r="A263" s="1"/>
      <c r="B263" s="1"/>
      <c r="C263" s="1" t="s">
        <v>13</v>
      </c>
      <c r="D263" s="7"/>
      <c r="E263" s="7"/>
      <c r="F263" s="7"/>
      <c r="G263" s="7"/>
      <c r="H263" s="7">
        <v>0</v>
      </c>
      <c r="I263" s="7"/>
      <c r="J263" s="7">
        <f>SUM(D263:H263)</f>
        <v>0</v>
      </c>
      <c r="K263" s="1"/>
      <c r="L263" s="1"/>
    </row>
    <row r="264" spans="1:12">
      <c r="A264" s="1"/>
      <c r="B264" s="1"/>
      <c r="C264" s="1" t="s">
        <v>10</v>
      </c>
      <c r="D264" s="7">
        <f>SUM(D262:D263)</f>
        <v>14275.19</v>
      </c>
      <c r="E264" s="7">
        <f>SUM(E262:E263)</f>
        <v>324.23</v>
      </c>
      <c r="F264" s="7">
        <f>SUM(F262:F263)</f>
        <v>257.2</v>
      </c>
      <c r="G264" s="7">
        <f>SUM(G262:G263)</f>
        <v>3.75</v>
      </c>
      <c r="H264" s="7">
        <f>SUM(H262:H263)</f>
        <v>0</v>
      </c>
      <c r="I264" s="7"/>
      <c r="J264" s="7">
        <f>SUM(D264:H264)</f>
        <v>14860.37</v>
      </c>
      <c r="K264" s="1"/>
      <c r="L264" s="1"/>
    </row>
    <row r="265" spans="1:12">
      <c r="A265" s="1"/>
      <c r="B265" s="1"/>
      <c r="C265" s="1"/>
      <c r="D265" s="7"/>
      <c r="E265" s="7"/>
      <c r="F265" s="7"/>
      <c r="G265" s="7"/>
      <c r="H265" s="7"/>
      <c r="I265" s="7"/>
      <c r="J265" s="7"/>
      <c r="K265" s="1"/>
      <c r="L265" s="1"/>
    </row>
    <row r="266" spans="1:12">
      <c r="A266" s="1"/>
      <c r="B266" s="1"/>
      <c r="C266" s="1"/>
      <c r="D266" s="7"/>
      <c r="E266" s="7"/>
      <c r="F266" s="7"/>
      <c r="G266" s="7"/>
      <c r="H266" s="7"/>
      <c r="I266" s="7"/>
      <c r="J266" s="7"/>
      <c r="K266" s="1"/>
      <c r="L266" s="1"/>
    </row>
    <row r="267" spans="1:12">
      <c r="A267" s="1">
        <v>70</v>
      </c>
      <c r="B267" s="4" t="s">
        <v>65</v>
      </c>
      <c r="C267" s="4" t="s">
        <v>12</v>
      </c>
      <c r="D267" s="5">
        <v>10801.32</v>
      </c>
      <c r="E267" s="5">
        <v>361.63</v>
      </c>
      <c r="F267" s="5">
        <v>205.02</v>
      </c>
      <c r="G267" s="5">
        <v>79.150000000000006</v>
      </c>
      <c r="H267" s="6">
        <v>0</v>
      </c>
      <c r="I267" s="6"/>
      <c r="J267" s="5">
        <f>SUM(D267:H267)</f>
        <v>11447.119999999999</v>
      </c>
      <c r="K267" s="1"/>
      <c r="L267" s="1"/>
    </row>
    <row r="268" spans="1:12">
      <c r="A268" s="1"/>
      <c r="B268" s="1"/>
      <c r="C268" s="1"/>
      <c r="D268" s="7"/>
      <c r="E268" s="7"/>
      <c r="F268" s="7"/>
      <c r="G268" s="7"/>
      <c r="H268" s="7"/>
      <c r="I268" s="7"/>
      <c r="J268" s="7">
        <f>SUM(D268:H268)</f>
        <v>0</v>
      </c>
      <c r="K268" s="1"/>
      <c r="L268" s="1"/>
    </row>
    <row r="269" spans="1:12">
      <c r="A269" s="1"/>
      <c r="B269" s="1"/>
      <c r="C269" s="1" t="s">
        <v>10</v>
      </c>
      <c r="D269" s="7">
        <f>SUM(D267:D268)</f>
        <v>10801.32</v>
      </c>
      <c r="E269" s="7">
        <f>SUM(E267:E268)</f>
        <v>361.63</v>
      </c>
      <c r="F269" s="7">
        <f>SUM(F267:F268)</f>
        <v>205.02</v>
      </c>
      <c r="G269" s="7">
        <f>SUM(G267:G268)</f>
        <v>79.150000000000006</v>
      </c>
      <c r="H269" s="7">
        <f>SUM(H267:H268)</f>
        <v>0</v>
      </c>
      <c r="I269" s="7"/>
      <c r="J269" s="7">
        <f>SUM(D269:H269)</f>
        <v>11447.119999999999</v>
      </c>
      <c r="K269" s="1"/>
      <c r="L269" s="1"/>
    </row>
    <row r="270" spans="1:12">
      <c r="A270" s="1"/>
      <c r="B270" s="1"/>
      <c r="C270" s="1"/>
      <c r="D270" s="7"/>
      <c r="E270" s="7"/>
      <c r="F270" s="7"/>
      <c r="G270" s="7"/>
      <c r="H270" s="7"/>
      <c r="I270" s="7"/>
      <c r="J270" s="7"/>
      <c r="K270" s="1"/>
      <c r="L270" s="1"/>
    </row>
    <row r="271" spans="1:12">
      <c r="A271" s="1"/>
      <c r="B271" s="1"/>
      <c r="C271" s="1" t="s">
        <v>66</v>
      </c>
      <c r="D271" s="7">
        <f>SUM(D9:D269)/2</f>
        <v>690675.08</v>
      </c>
      <c r="E271" s="7">
        <f>SUM(E9:E269)/2</f>
        <v>16102.269999999999</v>
      </c>
      <c r="F271" s="7">
        <f>SUM(F9:F269)/2</f>
        <v>7077.7100000000019</v>
      </c>
      <c r="G271" s="7">
        <f>SUM(G9:G269)/2</f>
        <v>3116.7499999999991</v>
      </c>
      <c r="H271" s="7">
        <f>SUM(H9:H269)/2</f>
        <v>1325.5699999999997</v>
      </c>
      <c r="I271" s="7"/>
      <c r="J271" s="7">
        <f>SUM(D271:H271)</f>
        <v>718297.37999999989</v>
      </c>
      <c r="K271" s="1"/>
      <c r="L271" s="1"/>
    </row>
    <row r="272" spans="1:12">
      <c r="A272" s="1"/>
      <c r="B272" s="1"/>
      <c r="C272" s="1"/>
      <c r="D272" s="7"/>
      <c r="E272" s="7"/>
      <c r="F272" s="7"/>
      <c r="G272" s="7"/>
      <c r="H272" s="7"/>
      <c r="I272" s="7"/>
      <c r="J272" s="7"/>
      <c r="K272" s="1"/>
      <c r="L272" s="1"/>
    </row>
    <row r="273" spans="1:12">
      <c r="A273" s="1"/>
      <c r="B273" s="1"/>
      <c r="C273" s="1"/>
      <c r="D273" s="7"/>
      <c r="E273" s="7"/>
      <c r="F273" s="7"/>
      <c r="G273" s="7"/>
      <c r="H273" s="7"/>
      <c r="I273" s="7"/>
      <c r="J273" s="7"/>
      <c r="K273" s="1"/>
      <c r="L273" s="1"/>
    </row>
    <row r="274" spans="1:12">
      <c r="A274" s="1"/>
      <c r="B274" s="1"/>
      <c r="C274" s="1"/>
      <c r="D274" s="7"/>
      <c r="E274" s="7"/>
      <c r="F274" s="7"/>
      <c r="G274" s="7"/>
      <c r="H274" s="7"/>
      <c r="I274" s="7"/>
      <c r="J274" s="7"/>
      <c r="K274" s="1"/>
      <c r="L274" s="1"/>
    </row>
    <row r="275" spans="1:12">
      <c r="A275" s="1"/>
      <c r="B275" s="1"/>
      <c r="C275" s="1"/>
      <c r="D275" s="7"/>
      <c r="E275" s="7"/>
      <c r="F275" s="7"/>
      <c r="G275" s="7"/>
      <c r="H275" s="7"/>
      <c r="I275" s="7"/>
      <c r="J275" s="7"/>
      <c r="K275" s="1"/>
      <c r="L275" s="1"/>
    </row>
    <row r="276" spans="1:12">
      <c r="A276" s="1"/>
      <c r="B276" s="1"/>
      <c r="C276" s="1"/>
      <c r="D276" s="1"/>
      <c r="E276" s="1"/>
      <c r="F276" s="1"/>
      <c r="G276" s="1"/>
      <c r="H276" s="1"/>
      <c r="I276" s="1"/>
      <c r="J276" s="7"/>
      <c r="K276" s="1"/>
      <c r="L276" s="1"/>
    </row>
    <row r="277" spans="1:12">
      <c r="A277" s="1"/>
      <c r="B277" s="1"/>
      <c r="C277" s="1"/>
      <c r="D277" s="1"/>
      <c r="E277" s="1"/>
      <c r="F277" s="1"/>
      <c r="G277" s="1"/>
      <c r="H277" s="1"/>
      <c r="I277" s="1"/>
      <c r="J277" s="7"/>
      <c r="K277" s="1"/>
      <c r="L277" s="1"/>
    </row>
    <row r="278" spans="1:12">
      <c r="A278" s="1"/>
      <c r="B278" s="1"/>
      <c r="C278" s="1"/>
      <c r="D278" s="7"/>
      <c r="E278" s="7"/>
      <c r="F278" s="7"/>
      <c r="G278" s="7"/>
      <c r="H278" s="7"/>
      <c r="I278" s="7"/>
      <c r="J278" s="7"/>
      <c r="K278" s="1"/>
      <c r="L278" s="1"/>
    </row>
    <row r="279" spans="1:12">
      <c r="A279" s="1"/>
      <c r="B279" s="1"/>
      <c r="C279" s="1"/>
      <c r="D279" s="7"/>
      <c r="E279" s="7"/>
      <c r="F279" s="7"/>
      <c r="G279" s="7"/>
      <c r="H279" s="7"/>
      <c r="I279" s="7"/>
      <c r="J279" s="7"/>
      <c r="K279" s="1"/>
      <c r="L279" s="1"/>
    </row>
    <row r="280" spans="1:12">
      <c r="A280" s="1"/>
      <c r="B280" s="1"/>
      <c r="C280" s="1"/>
      <c r="D280" s="7"/>
      <c r="E280" s="7"/>
      <c r="F280" s="7"/>
      <c r="G280" s="7"/>
      <c r="H280" s="7"/>
      <c r="I280" s="7"/>
      <c r="J280" s="7"/>
      <c r="K280" s="1"/>
      <c r="L280" s="1"/>
    </row>
    <row r="281" spans="1:12">
      <c r="A281" s="1"/>
      <c r="B281" s="1"/>
      <c r="C281" s="1"/>
      <c r="D281" s="7"/>
      <c r="E281" s="7"/>
      <c r="F281" s="7"/>
      <c r="G281" s="7"/>
      <c r="H281" s="7"/>
      <c r="I281" s="7"/>
      <c r="J281" s="7"/>
      <c r="K281" s="1"/>
      <c r="L281" s="1"/>
    </row>
    <row r="282" spans="1:12">
      <c r="A282" s="1"/>
      <c r="B282" s="1"/>
      <c r="C282" s="1"/>
      <c r="D282" s="7"/>
      <c r="E282" s="7"/>
      <c r="F282" s="7"/>
      <c r="G282" s="7"/>
      <c r="H282" s="7"/>
      <c r="I282" s="7"/>
      <c r="J282" s="7"/>
      <c r="K282" s="1"/>
      <c r="L282" s="1"/>
    </row>
    <row r="283" spans="1:12">
      <c r="A283" s="1"/>
      <c r="B283" s="1"/>
      <c r="C283" s="1"/>
      <c r="D283" s="7"/>
      <c r="E283" s="7"/>
      <c r="F283" s="7"/>
      <c r="G283" s="7"/>
      <c r="H283" s="7"/>
      <c r="I283" s="7"/>
      <c r="J283" s="7"/>
      <c r="K283" s="1"/>
      <c r="L283" s="1"/>
    </row>
    <row r="284" spans="1:12">
      <c r="A284" s="1"/>
      <c r="B284" s="1"/>
      <c r="C284" s="1"/>
      <c r="D284" s="7"/>
      <c r="E284" s="7"/>
      <c r="F284" s="7"/>
      <c r="G284" s="7"/>
      <c r="H284" s="7"/>
      <c r="I284" s="7"/>
      <c r="J284" s="7"/>
      <c r="K284" s="1"/>
      <c r="L284" s="1"/>
    </row>
    <row r="285" spans="1:12">
      <c r="A285" s="1"/>
      <c r="B285" s="1"/>
      <c r="C285" s="1"/>
      <c r="D285" s="7"/>
      <c r="E285" s="7"/>
      <c r="F285" s="7"/>
      <c r="G285" s="7"/>
      <c r="H285" s="7"/>
      <c r="I285" s="7"/>
      <c r="J285" s="7"/>
      <c r="K285" s="1"/>
      <c r="L285" s="1"/>
    </row>
    <row r="286" spans="1:12">
      <c r="A286" s="1"/>
      <c r="B286" s="1"/>
      <c r="C286" s="1"/>
      <c r="D286" s="7"/>
      <c r="E286" s="7"/>
      <c r="F286" s="7"/>
      <c r="G286" s="7"/>
      <c r="H286" s="7"/>
      <c r="I286" s="7"/>
      <c r="J286" s="7"/>
      <c r="K286" s="1"/>
      <c r="L286" s="1"/>
    </row>
    <row r="287" spans="1:12">
      <c r="A287" s="1"/>
      <c r="B287" s="1"/>
      <c r="C287" s="1"/>
      <c r="D287" s="7"/>
      <c r="E287" s="7"/>
      <c r="F287" s="7"/>
      <c r="G287" s="7"/>
      <c r="H287" s="7"/>
      <c r="I287" s="7"/>
      <c r="J287" s="7"/>
      <c r="K287" s="1"/>
      <c r="L287" s="1"/>
    </row>
    <row r="288" spans="1:12">
      <c r="A288" s="1"/>
      <c r="B288" s="1"/>
      <c r="C288" s="1"/>
      <c r="D288" s="7"/>
      <c r="E288" s="7"/>
      <c r="F288" s="7"/>
      <c r="G288" s="7"/>
      <c r="H288" s="7"/>
      <c r="I288" s="7"/>
      <c r="J288" s="7"/>
      <c r="K288" s="1"/>
      <c r="L288" s="1"/>
    </row>
    <row r="289" spans="1:12">
      <c r="A289" s="1"/>
      <c r="B289" s="1"/>
      <c r="C289" s="1"/>
      <c r="D289" s="7"/>
      <c r="E289" s="7"/>
      <c r="F289" s="7"/>
      <c r="G289" s="7"/>
      <c r="H289" s="7"/>
      <c r="I289" s="7"/>
      <c r="J289" s="7"/>
      <c r="K289" s="1"/>
      <c r="L289" s="1"/>
    </row>
    <row r="290" spans="1:12">
      <c r="A290" s="1"/>
      <c r="B290" s="1"/>
      <c r="C290" s="1"/>
      <c r="D290" s="7"/>
      <c r="E290" s="7"/>
      <c r="F290" s="7"/>
      <c r="G290" s="7"/>
      <c r="H290" s="7"/>
      <c r="I290" s="7"/>
      <c r="J290" s="7"/>
      <c r="K290" s="1"/>
      <c r="L290" s="1"/>
    </row>
    <row r="291" spans="1:12">
      <c r="A291" s="1"/>
      <c r="B291" s="1"/>
      <c r="C291" s="1"/>
      <c r="D291" s="7"/>
      <c r="E291" s="7"/>
      <c r="F291" s="7"/>
      <c r="G291" s="7"/>
      <c r="H291" s="7"/>
      <c r="I291" s="7"/>
      <c r="J291" s="7"/>
      <c r="K291" s="1"/>
      <c r="L291" s="1"/>
    </row>
    <row r="292" spans="1:12">
      <c r="A292" s="1"/>
      <c r="B292" s="1"/>
      <c r="C292" s="1"/>
      <c r="D292" s="7"/>
      <c r="E292" s="7"/>
      <c r="F292" s="7"/>
      <c r="G292" s="7"/>
      <c r="H292" s="7"/>
      <c r="I292" s="7"/>
      <c r="J292" s="7"/>
      <c r="K292" s="1"/>
      <c r="L292" s="1"/>
    </row>
    <row r="293" spans="1:12">
      <c r="A293" s="1"/>
      <c r="B293" s="1"/>
      <c r="C293" s="1"/>
      <c r="D293" s="7"/>
      <c r="E293" s="7"/>
      <c r="F293" s="7"/>
      <c r="G293" s="7"/>
      <c r="H293" s="7"/>
      <c r="I293" s="7"/>
      <c r="J293" s="7"/>
      <c r="K293" s="1"/>
      <c r="L293" s="1"/>
    </row>
    <row r="294" spans="1:12">
      <c r="A294" s="1"/>
      <c r="B294" s="1"/>
      <c r="C294" s="1"/>
      <c r="D294" s="7"/>
      <c r="E294" s="7"/>
      <c r="F294" s="7"/>
      <c r="G294" s="7"/>
      <c r="H294" s="7"/>
      <c r="I294" s="7"/>
      <c r="J294" s="7"/>
      <c r="K294" s="1"/>
      <c r="L294" s="1"/>
    </row>
    <row r="295" spans="1:12">
      <c r="A295" s="1"/>
      <c r="B295" s="1"/>
      <c r="C295" s="1"/>
      <c r="D295" s="7"/>
      <c r="E295" s="7"/>
      <c r="F295" s="7"/>
      <c r="G295" s="7"/>
      <c r="H295" s="7"/>
      <c r="I295" s="7"/>
      <c r="J295" s="7"/>
      <c r="K295" s="1"/>
      <c r="L295" s="1"/>
    </row>
    <row r="296" spans="1:12">
      <c r="A296" s="1"/>
      <c r="B296" s="1"/>
      <c r="C296" s="1"/>
      <c r="D296" s="7"/>
      <c r="E296" s="7"/>
      <c r="F296" s="7"/>
      <c r="G296" s="7"/>
      <c r="H296" s="7"/>
      <c r="I296" s="7"/>
      <c r="J296" s="7"/>
      <c r="K296" s="1"/>
      <c r="L296" s="1"/>
    </row>
    <row r="297" spans="1:12">
      <c r="A297" s="1"/>
      <c r="B297" s="1"/>
      <c r="C297" s="1"/>
      <c r="D297" s="7"/>
      <c r="E297" s="7"/>
      <c r="F297" s="7"/>
      <c r="G297" s="7"/>
      <c r="H297" s="7"/>
      <c r="I297" s="7"/>
      <c r="J297" s="7"/>
      <c r="K297" s="1"/>
      <c r="L297" s="1"/>
    </row>
    <row r="298" spans="1:12">
      <c r="A298" s="1"/>
      <c r="B298" s="1"/>
      <c r="C298" s="1"/>
      <c r="D298" s="7"/>
      <c r="E298" s="7"/>
      <c r="F298" s="7"/>
      <c r="G298" s="7"/>
      <c r="H298" s="7"/>
      <c r="I298" s="7"/>
      <c r="J298" s="7"/>
      <c r="K298" s="1"/>
      <c r="L298" s="1"/>
    </row>
    <row r="299" spans="1:12">
      <c r="A299" s="1"/>
      <c r="B299" s="1"/>
      <c r="C299" s="1"/>
      <c r="D299" s="7"/>
      <c r="E299" s="7"/>
      <c r="F299" s="7"/>
      <c r="G299" s="7"/>
      <c r="H299" s="7"/>
      <c r="I299" s="7"/>
      <c r="J299" s="7"/>
      <c r="K299" s="1"/>
      <c r="L299" s="1"/>
    </row>
    <row r="300" spans="1:12">
      <c r="A300" s="1"/>
      <c r="B300" s="1"/>
      <c r="C300" s="1"/>
      <c r="D300" s="7"/>
      <c r="E300" s="7"/>
      <c r="F300" s="7"/>
      <c r="G300" s="7"/>
      <c r="H300" s="7"/>
      <c r="I300" s="7"/>
      <c r="J300" s="7"/>
      <c r="K300" s="1"/>
      <c r="L300" s="1"/>
    </row>
    <row r="301" spans="1:12">
      <c r="A301" s="1"/>
      <c r="B301" s="1"/>
      <c r="C301" s="1"/>
      <c r="D301" s="7"/>
      <c r="E301" s="7"/>
      <c r="F301" s="7"/>
      <c r="G301" s="7"/>
      <c r="H301" s="7"/>
      <c r="I301" s="7"/>
      <c r="J301" s="7"/>
      <c r="K301" s="1"/>
      <c r="L301" s="1"/>
    </row>
    <row r="302" spans="1:12">
      <c r="A302" s="1"/>
      <c r="B302" s="1"/>
      <c r="C302" s="1"/>
      <c r="D302" s="7"/>
      <c r="E302" s="7"/>
      <c r="F302" s="7"/>
      <c r="G302" s="7"/>
      <c r="H302" s="7"/>
      <c r="I302" s="7"/>
      <c r="J302" s="7"/>
      <c r="K302" s="1"/>
      <c r="L302" s="1"/>
    </row>
    <row r="303" spans="1:12">
      <c r="A303" s="1"/>
      <c r="B303" s="1"/>
      <c r="C303" s="1"/>
      <c r="D303" s="7"/>
      <c r="E303" s="7"/>
      <c r="F303" s="7"/>
      <c r="G303" s="7"/>
      <c r="H303" s="7"/>
      <c r="I303" s="7"/>
      <c r="J303" s="7"/>
      <c r="K303" s="1"/>
      <c r="L303" s="1"/>
    </row>
    <row r="304" spans="1:12">
      <c r="A304" s="1"/>
      <c r="B304" s="1"/>
      <c r="C304" s="1"/>
      <c r="D304" s="7"/>
      <c r="E304" s="7"/>
      <c r="F304" s="7"/>
      <c r="G304" s="7"/>
      <c r="H304" s="7"/>
      <c r="I304" s="7"/>
      <c r="J304" s="7"/>
      <c r="K304" s="1"/>
      <c r="L304" s="1"/>
    </row>
    <row r="305" spans="1:1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</sheetData>
  <phoneticPr fontId="0" type="noConversion"/>
  <pageMargins left="0.25" right="0.25" top="0.25" bottom="0.25" header="0.5" footer="0.5"/>
  <pageSetup orientation="landscape" r:id="rId1"/>
  <headerFooter alignWithMargins="0"/>
  <rowBreaks count="51" manualBreakCount="51">
    <brk id="7" max="65535" man="1"/>
    <brk id="12" max="65535" man="1"/>
    <brk id="18" max="65535" man="1"/>
    <brk id="24" max="65535" man="1"/>
    <brk id="30" max="65535" man="1"/>
    <brk id="36" max="65535" man="1"/>
    <brk id="43" max="65535" man="1"/>
    <brk id="49" max="65535" man="1"/>
    <brk id="56" max="65535" man="1"/>
    <brk id="62" max="65535" man="1"/>
    <brk id="68" max="65535" man="1"/>
    <brk id="75" max="65535" man="1"/>
    <brk id="82" max="65535" man="1"/>
    <brk id="89" max="65535" man="1"/>
    <brk id="94" max="65535" man="1"/>
    <brk id="100" max="65535" man="1"/>
    <brk id="105" max="65535" man="1"/>
    <brk id="111" max="65535" man="1"/>
    <brk id="117" max="65535" man="1"/>
    <brk id="121" max="65535" man="1"/>
    <brk id="127" max="65535" man="1"/>
    <brk id="133" max="65535" man="1"/>
    <brk id="140" max="65535" man="1"/>
    <brk id="146" max="65535" man="1"/>
    <brk id="151" max="65535" man="1"/>
    <brk id="156" max="65535" man="1"/>
    <brk id="162" max="65535" man="1"/>
    <brk id="167" max="65535" man="1"/>
    <brk id="172" max="65535" man="1"/>
    <brk id="178" max="65535" man="1"/>
    <brk id="185" max="65535" man="1"/>
    <brk id="191" max="65535" man="1"/>
    <brk id="197" max="65535" man="1"/>
    <brk id="202" max="65535" man="1"/>
    <brk id="208" max="65535" man="1"/>
    <brk id="214" max="65535" man="1"/>
    <brk id="220" max="65535" man="1"/>
    <brk id="226" max="65535" man="1"/>
    <brk id="232" max="65535" man="1"/>
    <brk id="237" max="65535" man="1"/>
    <brk id="243" max="65535" man="1"/>
    <brk id="249" max="65535" man="1"/>
    <brk id="255" max="65535" man="1"/>
    <brk id="260" max="65535" man="1"/>
    <brk id="266" max="65535" man="1"/>
    <brk id="273" max="65535" man="1"/>
    <brk id="279" max="65535" man="1"/>
    <brk id="285" max="65535" man="1"/>
    <brk id="290" max="65535" man="1"/>
    <brk id="297" max="65535" man="1"/>
    <brk id="302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L306"/>
  <sheetViews>
    <sheetView showOutlineSymbols="0" defaultGridColor="0" colorId="23" zoomScale="75" workbookViewId="0"/>
  </sheetViews>
  <sheetFormatPr defaultColWidth="9.6640625" defaultRowHeight="15"/>
  <cols>
    <col min="1" max="1" width="9.6640625" customWidth="1"/>
    <col min="2" max="2" width="16.6640625" customWidth="1"/>
    <col min="3" max="3" width="21.6640625" customWidth="1"/>
    <col min="4" max="5" width="11.6640625" customWidth="1"/>
    <col min="6" max="9" width="9.6640625" customWidth="1"/>
    <col min="10" max="10" width="12.6640625" customWidth="1"/>
  </cols>
  <sheetData>
    <row r="1" spans="1:12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 t="s">
        <v>74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>
      <c r="A4" s="1"/>
      <c r="B4" s="3" t="s">
        <v>1</v>
      </c>
      <c r="C4" s="2"/>
      <c r="D4" s="2"/>
      <c r="E4" s="2"/>
      <c r="F4" s="2"/>
      <c r="G4" s="2"/>
      <c r="H4" s="2"/>
      <c r="I4" s="2"/>
      <c r="J4" s="2"/>
      <c r="K4" s="1"/>
      <c r="L4" s="1"/>
    </row>
    <row r="5" spans="1:12" ht="15.75">
      <c r="A5" s="1"/>
      <c r="B5" s="3" t="s">
        <v>75</v>
      </c>
      <c r="C5" s="2"/>
      <c r="D5" s="2"/>
      <c r="E5" s="2"/>
      <c r="F5" s="2"/>
      <c r="G5" s="2"/>
      <c r="H5" s="2"/>
      <c r="I5" s="2"/>
      <c r="J5" s="2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4" t="s">
        <v>3</v>
      </c>
      <c r="C7" s="4" t="s">
        <v>4</v>
      </c>
      <c r="D7" s="5" t="s">
        <v>76</v>
      </c>
      <c r="E7" s="5" t="s">
        <v>77</v>
      </c>
      <c r="F7" s="5" t="s">
        <v>69</v>
      </c>
      <c r="G7" s="5" t="s">
        <v>5</v>
      </c>
      <c r="H7" s="6" t="s">
        <v>6</v>
      </c>
      <c r="I7" s="6"/>
      <c r="J7" s="5" t="s">
        <v>10</v>
      </c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>
        <v>21</v>
      </c>
      <c r="B9" s="1" t="s">
        <v>11</v>
      </c>
      <c r="C9" s="1" t="s">
        <v>12</v>
      </c>
      <c r="D9" s="7">
        <v>14081.43</v>
      </c>
      <c r="E9" s="7">
        <v>63.51</v>
      </c>
      <c r="F9" s="7">
        <v>26.51</v>
      </c>
      <c r="G9" s="7">
        <v>0</v>
      </c>
      <c r="H9" s="7"/>
      <c r="I9" s="7"/>
      <c r="J9" s="7">
        <f>SUM(D9:H9)</f>
        <v>14171.45</v>
      </c>
      <c r="K9" s="1"/>
      <c r="L9" s="1"/>
    </row>
    <row r="10" spans="1:12">
      <c r="A10" s="1"/>
      <c r="B10" s="1"/>
      <c r="C10" s="1" t="s">
        <v>13</v>
      </c>
      <c r="D10" s="7">
        <v>246.11</v>
      </c>
      <c r="E10" s="7">
        <v>1.22</v>
      </c>
      <c r="F10" s="7">
        <v>0.59</v>
      </c>
      <c r="G10" s="7"/>
      <c r="H10" s="7"/>
      <c r="I10" s="7"/>
      <c r="J10" s="7">
        <f>SUM(D10:H10)</f>
        <v>247.92000000000002</v>
      </c>
      <c r="K10" s="1"/>
      <c r="L10" s="1"/>
    </row>
    <row r="11" spans="1:12">
      <c r="A11" s="1"/>
      <c r="B11" s="1"/>
      <c r="C11" s="1"/>
      <c r="D11" s="7"/>
      <c r="E11" s="7"/>
      <c r="F11" s="7"/>
      <c r="G11" s="7"/>
      <c r="H11" s="7"/>
      <c r="I11" s="7"/>
      <c r="J11" s="7"/>
      <c r="K11" s="1"/>
      <c r="L11" s="1"/>
    </row>
    <row r="12" spans="1:12">
      <c r="A12" s="1"/>
      <c r="B12" s="1"/>
      <c r="C12" s="1" t="s">
        <v>10</v>
      </c>
      <c r="D12" s="7">
        <f>SUM(D9:D10)</f>
        <v>14327.54</v>
      </c>
      <c r="E12" s="7">
        <f>SUM(E9:E10)</f>
        <v>64.73</v>
      </c>
      <c r="F12" s="7">
        <f>SUM(F9:F10)</f>
        <v>27.1</v>
      </c>
      <c r="G12" s="7">
        <f>SUM(G9:G10)</f>
        <v>0</v>
      </c>
      <c r="H12" s="7">
        <f>SUM(H9:H10)</f>
        <v>0</v>
      </c>
      <c r="I12" s="7"/>
      <c r="J12" s="7">
        <f>SUM(D12:H12)</f>
        <v>14419.37</v>
      </c>
      <c r="K12" s="1"/>
      <c r="L12" s="1"/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7"/>
      <c r="K13" s="1"/>
      <c r="L13" s="1"/>
    </row>
    <row r="14" spans="1:12">
      <c r="A14" s="1">
        <v>22</v>
      </c>
      <c r="B14" s="1" t="s">
        <v>15</v>
      </c>
      <c r="C14" s="1" t="s">
        <v>12</v>
      </c>
      <c r="D14" s="7">
        <v>13562.17</v>
      </c>
      <c r="E14" s="7">
        <v>25.82</v>
      </c>
      <c r="F14" s="7">
        <v>0</v>
      </c>
      <c r="G14" s="7">
        <v>0</v>
      </c>
      <c r="H14" s="7"/>
      <c r="I14" s="7"/>
      <c r="J14" s="7">
        <f>SUM(D14:H14)</f>
        <v>13587.99</v>
      </c>
      <c r="K14" s="1"/>
      <c r="L14" s="1"/>
    </row>
    <row r="15" spans="1:12">
      <c r="A15" s="1"/>
      <c r="B15" s="1"/>
      <c r="C15" s="1" t="s">
        <v>13</v>
      </c>
      <c r="D15" s="7">
        <v>941.75</v>
      </c>
      <c r="E15" s="7">
        <v>1.76</v>
      </c>
      <c r="F15" s="7"/>
      <c r="G15" s="7"/>
      <c r="H15" s="7"/>
      <c r="I15" s="7"/>
      <c r="J15" s="7">
        <f>SUM(D15:H15)</f>
        <v>943.51</v>
      </c>
      <c r="K15" s="1"/>
      <c r="L15" s="1"/>
    </row>
    <row r="16" spans="1:12">
      <c r="A16" s="1"/>
      <c r="B16" s="1"/>
      <c r="C16" s="1"/>
      <c r="D16" s="7"/>
      <c r="E16" s="7"/>
      <c r="F16" s="7"/>
      <c r="G16" s="7"/>
      <c r="H16" s="7"/>
      <c r="I16" s="7"/>
      <c r="J16" s="7"/>
      <c r="K16" s="1"/>
      <c r="L16" s="1"/>
    </row>
    <row r="17" spans="1:12">
      <c r="A17" s="1"/>
      <c r="B17" s="1"/>
      <c r="C17" s="1" t="s">
        <v>10</v>
      </c>
      <c r="D17" s="7">
        <f>SUM(D14:D15)</f>
        <v>14503.92</v>
      </c>
      <c r="E17" s="7">
        <f>SUM(E14:E15)</f>
        <v>27.580000000000002</v>
      </c>
      <c r="F17" s="7">
        <f>SUM(F14:F15)</f>
        <v>0</v>
      </c>
      <c r="G17" s="7">
        <f>SUM(G14:G15)</f>
        <v>0</v>
      </c>
      <c r="H17" s="7">
        <f>SUM(H14:H15)</f>
        <v>0</v>
      </c>
      <c r="I17" s="7"/>
      <c r="J17" s="7">
        <f>SUM(D17:H17)</f>
        <v>14531.5</v>
      </c>
      <c r="K17" s="1"/>
      <c r="L17" s="1"/>
    </row>
    <row r="18" spans="1:12">
      <c r="A18" s="1"/>
      <c r="B18" s="1"/>
      <c r="C18" s="1"/>
      <c r="D18" s="7"/>
      <c r="E18" s="7"/>
      <c r="F18" s="7"/>
      <c r="G18" s="7"/>
      <c r="H18" s="7"/>
      <c r="I18" s="7"/>
      <c r="J18" s="7"/>
      <c r="K18" s="1"/>
      <c r="L18" s="1"/>
    </row>
    <row r="19" spans="1:12">
      <c r="A19" s="1">
        <v>23</v>
      </c>
      <c r="B19" s="1" t="s">
        <v>16</v>
      </c>
      <c r="C19" s="1" t="s">
        <v>12</v>
      </c>
      <c r="D19" s="7">
        <v>11689.31</v>
      </c>
      <c r="E19" s="7">
        <v>137.18</v>
      </c>
      <c r="F19" s="7">
        <v>0</v>
      </c>
      <c r="G19" s="7">
        <v>0</v>
      </c>
      <c r="H19" s="7"/>
      <c r="I19" s="7"/>
      <c r="J19" s="7">
        <f>SUM(D19:H19)</f>
        <v>11826.49</v>
      </c>
      <c r="K19" s="1"/>
      <c r="L19" s="1"/>
    </row>
    <row r="20" spans="1:12">
      <c r="A20" s="1"/>
      <c r="B20" s="1"/>
      <c r="C20" s="1" t="s">
        <v>13</v>
      </c>
      <c r="D20" s="7">
        <v>440.92</v>
      </c>
      <c r="E20" s="7">
        <v>6.02</v>
      </c>
      <c r="F20" s="7"/>
      <c r="G20" s="7"/>
      <c r="H20" s="7"/>
      <c r="I20" s="7"/>
      <c r="J20" s="7">
        <f>SUM(D20:H20)</f>
        <v>446.94</v>
      </c>
      <c r="K20" s="1"/>
      <c r="L20" s="1"/>
    </row>
    <row r="21" spans="1:12">
      <c r="A21" s="1"/>
      <c r="B21" s="1"/>
      <c r="C21" s="1"/>
      <c r="D21" s="7"/>
      <c r="E21" s="7"/>
      <c r="F21" s="7"/>
      <c r="G21" s="7"/>
      <c r="H21" s="7"/>
      <c r="I21" s="7"/>
      <c r="J21" s="7"/>
      <c r="K21" s="1"/>
      <c r="L21" s="1"/>
    </row>
    <row r="22" spans="1:12">
      <c r="A22" s="1"/>
      <c r="B22" s="1"/>
      <c r="C22" s="1" t="s">
        <v>10</v>
      </c>
      <c r="D22" s="7">
        <f>SUM(D19:D20)</f>
        <v>12130.23</v>
      </c>
      <c r="E22" s="7">
        <f>SUM(E19:E20)</f>
        <v>143.20000000000002</v>
      </c>
      <c r="F22" s="7">
        <f>SUM(F19:F20)</f>
        <v>0</v>
      </c>
      <c r="G22" s="7">
        <f>SUM(G19:G20)</f>
        <v>0</v>
      </c>
      <c r="H22" s="7">
        <f>SUM(H19:H20)</f>
        <v>0</v>
      </c>
      <c r="I22" s="7"/>
      <c r="J22" s="7">
        <f>SUM(D22:H22)</f>
        <v>12273.43</v>
      </c>
      <c r="K22" s="1"/>
      <c r="L22" s="1"/>
    </row>
    <row r="23" spans="1:12">
      <c r="A23" s="1"/>
      <c r="B23" s="1"/>
      <c r="C23" s="1"/>
      <c r="D23" s="7"/>
      <c r="E23" s="7"/>
      <c r="F23" s="7"/>
      <c r="G23" s="7"/>
      <c r="H23" s="7"/>
      <c r="I23" s="7"/>
      <c r="J23" s="7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7"/>
      <c r="K24" s="1"/>
      <c r="L24" s="1"/>
    </row>
    <row r="25" spans="1:12">
      <c r="A25" s="1"/>
      <c r="B25" s="1"/>
      <c r="C25" s="1"/>
      <c r="D25" s="7"/>
      <c r="E25" s="7"/>
      <c r="F25" s="7"/>
      <c r="G25" s="7"/>
      <c r="H25" s="7"/>
      <c r="I25" s="7"/>
      <c r="J25" s="7"/>
      <c r="K25" s="1"/>
      <c r="L25" s="1"/>
    </row>
    <row r="26" spans="1:12">
      <c r="A26" s="1">
        <v>24</v>
      </c>
      <c r="B26" s="1" t="s">
        <v>17</v>
      </c>
      <c r="C26" s="1" t="s">
        <v>12</v>
      </c>
      <c r="D26" s="7">
        <v>8210.57</v>
      </c>
      <c r="E26" s="7">
        <v>0</v>
      </c>
      <c r="F26" s="7">
        <v>0</v>
      </c>
      <c r="G26" s="7">
        <v>0</v>
      </c>
      <c r="H26" s="7">
        <v>0</v>
      </c>
      <c r="I26" s="7"/>
      <c r="J26" s="7">
        <f>SUM(D26:H26)</f>
        <v>8210.57</v>
      </c>
      <c r="K26" s="1"/>
      <c r="L26" s="1"/>
    </row>
    <row r="27" spans="1:12">
      <c r="A27" s="1"/>
      <c r="B27" s="1"/>
      <c r="C27" s="1"/>
      <c r="D27" s="7"/>
      <c r="E27" s="7"/>
      <c r="F27" s="7"/>
      <c r="G27" s="7"/>
      <c r="H27" s="7"/>
      <c r="I27" s="7"/>
      <c r="J27" s="7">
        <f>SUM(D27:H27)</f>
        <v>0</v>
      </c>
      <c r="K27" s="1"/>
      <c r="L27" s="1"/>
    </row>
    <row r="28" spans="1:12">
      <c r="A28" s="1"/>
      <c r="B28" s="1"/>
      <c r="C28" s="1" t="s">
        <v>10</v>
      </c>
      <c r="D28" s="7">
        <f>SUM(D26:D27)</f>
        <v>8210.57</v>
      </c>
      <c r="E28" s="7">
        <f>SUM(E26:E27)</f>
        <v>0</v>
      </c>
      <c r="F28" s="7">
        <f>SUM(F26:F27)</f>
        <v>0</v>
      </c>
      <c r="G28" s="7">
        <f>SUM(G26:G27)</f>
        <v>0</v>
      </c>
      <c r="H28" s="7">
        <f>SUM(H26:H27)</f>
        <v>0</v>
      </c>
      <c r="I28" s="7"/>
      <c r="J28" s="7">
        <f>SUM(D28:H28)</f>
        <v>8210.57</v>
      </c>
      <c r="K28" s="1"/>
      <c r="L28" s="1"/>
    </row>
    <row r="29" spans="1:12">
      <c r="A29" s="1"/>
      <c r="B29" s="1"/>
      <c r="C29" s="1"/>
      <c r="D29" s="7"/>
      <c r="E29" s="7"/>
      <c r="F29" s="7"/>
      <c r="G29" s="7"/>
      <c r="H29" s="7"/>
      <c r="I29" s="7"/>
      <c r="J29" s="7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7"/>
      <c r="K30" s="1"/>
      <c r="L30" s="1"/>
    </row>
    <row r="31" spans="1:12">
      <c r="A31" s="1"/>
      <c r="B31" s="1"/>
      <c r="C31" s="1"/>
      <c r="D31" s="7"/>
      <c r="E31" s="7"/>
      <c r="F31" s="7"/>
      <c r="G31" s="7"/>
      <c r="H31" s="7"/>
      <c r="I31" s="7"/>
      <c r="J31" s="7"/>
      <c r="K31" s="1"/>
      <c r="L31" s="1"/>
    </row>
    <row r="32" spans="1:12">
      <c r="A32" s="1">
        <v>25</v>
      </c>
      <c r="B32" s="1" t="s">
        <v>18</v>
      </c>
      <c r="C32" s="1" t="s">
        <v>12</v>
      </c>
      <c r="D32" s="7">
        <v>20484.72</v>
      </c>
      <c r="E32" s="7">
        <v>16.829999999999998</v>
      </c>
      <c r="F32" s="7">
        <v>0</v>
      </c>
      <c r="G32" s="7">
        <v>0</v>
      </c>
      <c r="H32" s="7">
        <v>0</v>
      </c>
      <c r="I32" s="7"/>
      <c r="J32" s="7">
        <f>SUM(D32:H32)</f>
        <v>20501.550000000003</v>
      </c>
      <c r="K32" s="1"/>
      <c r="L32" s="1"/>
    </row>
    <row r="33" spans="1:12">
      <c r="A33" s="1"/>
      <c r="B33" s="1"/>
      <c r="C33" s="1"/>
      <c r="D33" s="7"/>
      <c r="E33" s="7"/>
      <c r="F33" s="7"/>
      <c r="G33" s="7"/>
      <c r="H33" s="7"/>
      <c r="I33" s="7"/>
      <c r="J33" s="7"/>
      <c r="K33" s="1"/>
      <c r="L33" s="1"/>
    </row>
    <row r="34" spans="1:12">
      <c r="A34" s="1"/>
      <c r="B34" s="1"/>
      <c r="C34" s="1" t="s">
        <v>10</v>
      </c>
      <c r="D34" s="7">
        <f>SUM(D32:D33)</f>
        <v>20484.72</v>
      </c>
      <c r="E34" s="7">
        <f>SUM(E32:E33)</f>
        <v>16.829999999999998</v>
      </c>
      <c r="F34" s="7">
        <f>SUM(F32:F33)</f>
        <v>0</v>
      </c>
      <c r="G34" s="7">
        <f>SUM(G32:G33)</f>
        <v>0</v>
      </c>
      <c r="H34" s="7">
        <f>SUM(H32:H33)</f>
        <v>0</v>
      </c>
      <c r="I34" s="7"/>
      <c r="J34" s="7">
        <f>SUM(D34:H34)</f>
        <v>20501.550000000003</v>
      </c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7"/>
      <c r="K35" s="1"/>
      <c r="L35" s="1"/>
    </row>
    <row r="36" spans="1:12">
      <c r="A36" s="1"/>
      <c r="B36" s="1"/>
      <c r="C36" s="1"/>
      <c r="D36" s="7"/>
      <c r="E36" s="7"/>
      <c r="F36" s="7"/>
      <c r="G36" s="7"/>
      <c r="H36" s="7"/>
      <c r="I36" s="7"/>
      <c r="J36" s="7"/>
      <c r="K36" s="1"/>
      <c r="L36" s="1"/>
    </row>
    <row r="37" spans="1:12">
      <c r="A37" s="1"/>
      <c r="B37" s="1"/>
      <c r="C37" s="1"/>
      <c r="D37" s="7"/>
      <c r="E37" s="7"/>
      <c r="F37" s="7"/>
      <c r="G37" s="7"/>
      <c r="H37" s="7"/>
      <c r="I37" s="7"/>
      <c r="J37" s="7"/>
      <c r="K37" s="1"/>
      <c r="L37" s="1"/>
    </row>
    <row r="38" spans="1:12">
      <c r="A38" s="1">
        <v>26</v>
      </c>
      <c r="B38" s="1" t="s">
        <v>19</v>
      </c>
      <c r="C38" s="1" t="s">
        <v>12</v>
      </c>
      <c r="D38" s="7">
        <v>10354.459999999999</v>
      </c>
      <c r="E38" s="7">
        <v>45.13</v>
      </c>
      <c r="F38" s="7">
        <v>0</v>
      </c>
      <c r="G38" s="7">
        <v>0</v>
      </c>
      <c r="H38" s="7">
        <v>0</v>
      </c>
      <c r="I38" s="7"/>
      <c r="J38" s="7">
        <f>SUM(D38:H38)</f>
        <v>10399.589999999998</v>
      </c>
      <c r="K38" s="1"/>
      <c r="L38" s="1"/>
    </row>
    <row r="39" spans="1:12">
      <c r="A39" s="1"/>
      <c r="B39" s="1"/>
      <c r="C39" s="1" t="s">
        <v>13</v>
      </c>
      <c r="D39" s="7">
        <v>262.88</v>
      </c>
      <c r="E39" s="7">
        <v>0.99</v>
      </c>
      <c r="F39" s="7">
        <v>0</v>
      </c>
      <c r="G39" s="7">
        <v>0</v>
      </c>
      <c r="H39" s="7"/>
      <c r="I39" s="7"/>
      <c r="J39" s="7">
        <f>SUM(D39:H39)</f>
        <v>263.87</v>
      </c>
      <c r="K39" s="1"/>
      <c r="L39" s="1"/>
    </row>
    <row r="40" spans="1:12">
      <c r="A40" s="1"/>
      <c r="B40" s="1"/>
      <c r="C40" s="1"/>
      <c r="D40" s="7"/>
      <c r="E40" s="7"/>
      <c r="F40" s="7"/>
      <c r="G40" s="7"/>
      <c r="H40" s="7"/>
      <c r="I40" s="7"/>
      <c r="J40" s="7"/>
      <c r="K40" s="1"/>
      <c r="L40" s="1"/>
    </row>
    <row r="41" spans="1:12">
      <c r="A41" s="1"/>
      <c r="B41" s="1"/>
      <c r="C41" s="1" t="s">
        <v>10</v>
      </c>
      <c r="D41" s="7">
        <f>SUM(D38:D39)</f>
        <v>10617.339999999998</v>
      </c>
      <c r="E41" s="7">
        <f>SUM(E38:E39)</f>
        <v>46.120000000000005</v>
      </c>
      <c r="F41" s="7">
        <f>SUM(F38:F39)</f>
        <v>0</v>
      </c>
      <c r="G41" s="7">
        <f>SUM(G38:G39)</f>
        <v>0</v>
      </c>
      <c r="H41" s="7">
        <f>SUM(H38:H39)</f>
        <v>0</v>
      </c>
      <c r="I41" s="7"/>
      <c r="J41" s="7">
        <f>SUM(D41:H41)</f>
        <v>10663.46</v>
      </c>
      <c r="K41" s="1"/>
      <c r="L41" s="1"/>
    </row>
    <row r="42" spans="1:12">
      <c r="A42" s="1"/>
      <c r="B42" s="1"/>
      <c r="C42" s="1"/>
      <c r="D42" s="7"/>
      <c r="E42" s="7"/>
      <c r="F42" s="7"/>
      <c r="G42" s="7"/>
      <c r="H42" s="7"/>
      <c r="I42" s="7"/>
      <c r="J42" s="7"/>
      <c r="K42" s="1"/>
      <c r="L42" s="1"/>
    </row>
    <row r="43" spans="1:12">
      <c r="A43" s="1"/>
      <c r="B43" s="1"/>
      <c r="C43" s="1"/>
      <c r="D43" s="7"/>
      <c r="E43" s="7"/>
      <c r="F43" s="7"/>
      <c r="G43" s="7"/>
      <c r="H43" s="7"/>
      <c r="I43" s="7"/>
      <c r="J43" s="7"/>
      <c r="K43" s="1"/>
      <c r="L43" s="1"/>
    </row>
    <row r="44" spans="1:12">
      <c r="A44" s="1">
        <v>27</v>
      </c>
      <c r="B44" s="1" t="s">
        <v>20</v>
      </c>
      <c r="C44" s="1" t="s">
        <v>12</v>
      </c>
      <c r="D44" s="7">
        <v>12180.56</v>
      </c>
      <c r="E44" s="7">
        <v>0</v>
      </c>
      <c r="F44" s="7">
        <v>0</v>
      </c>
      <c r="G44" s="7">
        <v>0</v>
      </c>
      <c r="H44" s="7">
        <v>0</v>
      </c>
      <c r="I44" s="7"/>
      <c r="J44" s="7">
        <f>SUM(D44:H44)</f>
        <v>12180.56</v>
      </c>
      <c r="K44" s="1"/>
      <c r="L44" s="1"/>
    </row>
    <row r="45" spans="1:12">
      <c r="A45" s="1"/>
      <c r="B45" s="1"/>
      <c r="C45" s="1"/>
      <c r="D45" s="7"/>
      <c r="E45" s="7"/>
      <c r="F45" s="7"/>
      <c r="G45" s="7"/>
      <c r="H45" s="7"/>
      <c r="I45" s="7"/>
      <c r="J45" s="7">
        <f>SUM(D45:H45)</f>
        <v>0</v>
      </c>
      <c r="K45" s="1"/>
      <c r="L45" s="1"/>
    </row>
    <row r="46" spans="1:12">
      <c r="A46" s="1"/>
      <c r="B46" s="1"/>
      <c r="C46" s="1" t="s">
        <v>10</v>
      </c>
      <c r="D46" s="7">
        <f>SUM(D44:D45)</f>
        <v>12180.56</v>
      </c>
      <c r="E46" s="7">
        <f>SUM(E44:E45)</f>
        <v>0</v>
      </c>
      <c r="F46" s="7">
        <f>SUM(F44:F45)</f>
        <v>0</v>
      </c>
      <c r="G46" s="7">
        <f>SUM(G44:G45)</f>
        <v>0</v>
      </c>
      <c r="H46" s="7">
        <f>SUM(H44:H45)</f>
        <v>0</v>
      </c>
      <c r="I46" s="7"/>
      <c r="J46" s="7">
        <f>SUM(D46:H46)</f>
        <v>12180.56</v>
      </c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7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7"/>
      <c r="K48" s="1"/>
      <c r="L48" s="1"/>
    </row>
    <row r="49" spans="1:12">
      <c r="A49" s="1"/>
      <c r="B49" s="1"/>
      <c r="C49" s="1"/>
      <c r="D49" s="7"/>
      <c r="E49" s="7"/>
      <c r="F49" s="7"/>
      <c r="G49" s="7"/>
      <c r="H49" s="7"/>
      <c r="I49" s="7"/>
      <c r="J49" s="7"/>
      <c r="K49" s="1"/>
      <c r="L49" s="1"/>
    </row>
    <row r="50" spans="1:12">
      <c r="A50" s="1"/>
      <c r="B50" s="1"/>
      <c r="C50" s="1"/>
      <c r="D50" s="7"/>
      <c r="E50" s="7"/>
      <c r="F50" s="7"/>
      <c r="G50" s="7"/>
      <c r="H50" s="7"/>
      <c r="I50" s="7"/>
      <c r="J50" s="7"/>
      <c r="K50" s="1"/>
      <c r="L50" s="1"/>
    </row>
    <row r="51" spans="1:12">
      <c r="A51" s="1">
        <v>28</v>
      </c>
      <c r="B51" s="1" t="s">
        <v>21</v>
      </c>
      <c r="C51" s="1" t="s">
        <v>12</v>
      </c>
      <c r="D51" s="7">
        <v>9071.7099999999991</v>
      </c>
      <c r="E51" s="7">
        <v>0</v>
      </c>
      <c r="F51" s="7">
        <v>0</v>
      </c>
      <c r="G51" s="7">
        <v>0</v>
      </c>
      <c r="H51" s="7">
        <v>0</v>
      </c>
      <c r="I51" s="7"/>
      <c r="J51" s="7">
        <f>SUM(D51:H51)</f>
        <v>9071.7099999999991</v>
      </c>
      <c r="K51" s="1"/>
      <c r="L51" s="1"/>
    </row>
    <row r="52" spans="1:12">
      <c r="A52" s="1"/>
      <c r="B52" s="1"/>
      <c r="C52" s="1" t="s">
        <v>13</v>
      </c>
      <c r="D52" s="7">
        <v>309.19</v>
      </c>
      <c r="E52" s="7">
        <v>0</v>
      </c>
      <c r="F52" s="7">
        <v>0</v>
      </c>
      <c r="G52" s="7">
        <v>0</v>
      </c>
      <c r="H52" s="7">
        <v>0</v>
      </c>
      <c r="I52" s="7"/>
      <c r="J52" s="7">
        <f>SUM(D52:H52)</f>
        <v>309.19</v>
      </c>
      <c r="K52" s="1"/>
      <c r="L52" s="1"/>
    </row>
    <row r="53" spans="1:12">
      <c r="A53" s="1"/>
      <c r="B53" s="1"/>
      <c r="C53" s="1"/>
      <c r="D53" s="7"/>
      <c r="E53" s="7"/>
      <c r="F53" s="7"/>
      <c r="G53" s="7"/>
      <c r="H53" s="7"/>
      <c r="I53" s="7"/>
      <c r="J53" s="7"/>
      <c r="K53" s="1"/>
      <c r="L53" s="1"/>
    </row>
    <row r="54" spans="1:12">
      <c r="A54" s="1"/>
      <c r="B54" s="1"/>
      <c r="C54" s="1" t="s">
        <v>10</v>
      </c>
      <c r="D54" s="7">
        <f>SUM(D51:D52)</f>
        <v>9380.9</v>
      </c>
      <c r="E54" s="7">
        <f>SUM(E51:E52)</f>
        <v>0</v>
      </c>
      <c r="F54" s="7">
        <f>SUM(F51:F52)</f>
        <v>0</v>
      </c>
      <c r="G54" s="7">
        <f>SUM(G51:G52)</f>
        <v>0</v>
      </c>
      <c r="H54" s="7">
        <f>SUM(H51:H52)</f>
        <v>0</v>
      </c>
      <c r="I54" s="7"/>
      <c r="J54" s="7">
        <f>SUM(D54:H54)</f>
        <v>9380.9</v>
      </c>
      <c r="K54" s="1"/>
      <c r="L54" s="1"/>
    </row>
    <row r="55" spans="1:12">
      <c r="A55" s="1"/>
      <c r="B55" s="1"/>
      <c r="C55" s="1"/>
      <c r="D55" s="7"/>
      <c r="E55" s="7"/>
      <c r="F55" s="7"/>
      <c r="G55" s="7"/>
      <c r="H55" s="7"/>
      <c r="I55" s="7"/>
      <c r="J55" s="7"/>
      <c r="K55" s="1"/>
      <c r="L55" s="1"/>
    </row>
    <row r="56" spans="1:12">
      <c r="A56" s="1"/>
      <c r="B56" s="1"/>
      <c r="C56" s="1"/>
      <c r="D56" s="7"/>
      <c r="E56" s="7"/>
      <c r="F56" s="7"/>
      <c r="G56" s="7"/>
      <c r="H56" s="7"/>
      <c r="I56" s="7"/>
      <c r="J56" s="7"/>
      <c r="K56" s="1"/>
      <c r="L56" s="1"/>
    </row>
    <row r="57" spans="1:12">
      <c r="A57" s="1">
        <v>29</v>
      </c>
      <c r="B57" s="1" t="s">
        <v>22</v>
      </c>
      <c r="C57" s="1" t="s">
        <v>12</v>
      </c>
      <c r="D57" s="7">
        <v>16605.66</v>
      </c>
      <c r="E57" s="7">
        <v>49.35</v>
      </c>
      <c r="F57" s="7">
        <v>52.16</v>
      </c>
      <c r="G57" s="7">
        <v>0.3</v>
      </c>
      <c r="H57" s="7">
        <v>0</v>
      </c>
      <c r="I57" s="7"/>
      <c r="J57" s="7">
        <f>SUM(D57:H57)</f>
        <v>16707.469999999998</v>
      </c>
      <c r="K57" s="1"/>
      <c r="L57" s="1"/>
    </row>
    <row r="58" spans="1:12">
      <c r="A58" s="1"/>
      <c r="B58" s="1"/>
      <c r="C58" s="1" t="s">
        <v>13</v>
      </c>
      <c r="D58" s="7">
        <v>988.5</v>
      </c>
      <c r="E58" s="7">
        <v>2.92</v>
      </c>
      <c r="F58" s="7">
        <v>2.0699999999999998</v>
      </c>
      <c r="G58" s="7">
        <v>0.19</v>
      </c>
      <c r="H58" s="7">
        <v>0</v>
      </c>
      <c r="I58" s="7"/>
      <c r="J58" s="7">
        <f>SUM(D58:H58)</f>
        <v>993.68000000000006</v>
      </c>
      <c r="K58" s="1"/>
      <c r="L58" s="1"/>
    </row>
    <row r="59" spans="1:12">
      <c r="A59" s="1"/>
      <c r="B59" s="1"/>
      <c r="C59" s="1"/>
      <c r="D59" s="7"/>
      <c r="E59" s="7"/>
      <c r="F59" s="7"/>
      <c r="G59" s="7"/>
      <c r="H59" s="7"/>
      <c r="I59" s="7"/>
      <c r="J59" s="7"/>
      <c r="K59" s="1"/>
      <c r="L59" s="1"/>
    </row>
    <row r="60" spans="1:12">
      <c r="A60" s="1"/>
      <c r="B60" s="1"/>
      <c r="C60" s="1" t="s">
        <v>10</v>
      </c>
      <c r="D60" s="7">
        <f>SUM(D57:D58)</f>
        <v>17594.16</v>
      </c>
      <c r="E60" s="7">
        <f>SUM(E57:E58)</f>
        <v>52.27</v>
      </c>
      <c r="F60" s="7">
        <f>SUM(F57:F58)</f>
        <v>54.23</v>
      </c>
      <c r="G60" s="7">
        <f>SUM(G57:G58)</f>
        <v>0.49</v>
      </c>
      <c r="H60" s="7">
        <f>SUM(H57:H58)</f>
        <v>0</v>
      </c>
      <c r="I60" s="7"/>
      <c r="J60" s="7">
        <f>SUM(D60:H60)</f>
        <v>17701.150000000001</v>
      </c>
      <c r="K60" s="1"/>
      <c r="L60" s="1"/>
    </row>
    <row r="61" spans="1:12">
      <c r="A61" s="1"/>
      <c r="B61" s="1"/>
      <c r="C61" s="1"/>
      <c r="D61" s="7"/>
      <c r="E61" s="7"/>
      <c r="F61" s="7"/>
      <c r="G61" s="7"/>
      <c r="H61" s="7"/>
      <c r="I61" s="7"/>
      <c r="J61" s="7"/>
      <c r="K61" s="1"/>
      <c r="L61" s="1"/>
    </row>
    <row r="62" spans="1:12">
      <c r="A62" s="1"/>
      <c r="B62" s="1"/>
      <c r="C62" s="1"/>
      <c r="D62" s="7"/>
      <c r="E62" s="7"/>
      <c r="F62" s="7"/>
      <c r="G62" s="7"/>
      <c r="H62" s="7"/>
      <c r="I62" s="7"/>
      <c r="J62" s="7"/>
      <c r="K62" s="1"/>
      <c r="L62" s="1"/>
    </row>
    <row r="63" spans="1:12">
      <c r="A63" s="1"/>
      <c r="B63" s="1"/>
      <c r="C63" s="1"/>
      <c r="D63" s="7"/>
      <c r="E63" s="7"/>
      <c r="F63" s="7"/>
      <c r="G63" s="7"/>
      <c r="H63" s="7"/>
      <c r="I63" s="7"/>
      <c r="J63" s="7"/>
      <c r="K63" s="1"/>
      <c r="L63" s="1"/>
    </row>
    <row r="64" spans="1:12">
      <c r="A64" s="1">
        <v>30</v>
      </c>
      <c r="B64" s="1" t="s">
        <v>23</v>
      </c>
      <c r="C64" s="1" t="s">
        <v>12</v>
      </c>
      <c r="D64" s="7">
        <v>6756.52</v>
      </c>
      <c r="E64" s="7">
        <v>1.86</v>
      </c>
      <c r="F64" s="7">
        <v>0</v>
      </c>
      <c r="G64" s="7">
        <v>0</v>
      </c>
      <c r="H64" s="7">
        <v>0</v>
      </c>
      <c r="I64" s="7"/>
      <c r="J64" s="7">
        <f>SUM(D64:H64)</f>
        <v>6758.38</v>
      </c>
      <c r="K64" s="1"/>
      <c r="L64" s="1"/>
    </row>
    <row r="65" spans="1:12">
      <c r="A65" s="1"/>
      <c r="B65" s="1"/>
      <c r="C65" s="1" t="s">
        <v>13</v>
      </c>
      <c r="D65" s="7"/>
      <c r="E65" s="7">
        <v>0</v>
      </c>
      <c r="F65" s="7">
        <v>0</v>
      </c>
      <c r="G65" s="7">
        <v>0</v>
      </c>
      <c r="H65" s="7">
        <v>0</v>
      </c>
      <c r="I65" s="7"/>
      <c r="J65" s="7">
        <f>SUM(D65:H65)</f>
        <v>0</v>
      </c>
      <c r="K65" s="1"/>
      <c r="L65" s="1"/>
    </row>
    <row r="66" spans="1:12">
      <c r="A66" s="1"/>
      <c r="B66" s="1"/>
      <c r="C66" s="1"/>
      <c r="D66" s="7"/>
      <c r="E66" s="7"/>
      <c r="F66" s="7"/>
      <c r="G66" s="7"/>
      <c r="H66" s="7"/>
      <c r="I66" s="7"/>
      <c r="J66" s="7"/>
      <c r="K66" s="1"/>
      <c r="L66" s="1"/>
    </row>
    <row r="67" spans="1:12">
      <c r="A67" s="1"/>
      <c r="B67" s="1"/>
      <c r="C67" s="1" t="s">
        <v>10</v>
      </c>
      <c r="D67" s="7">
        <f>SUM(D64:D65)</f>
        <v>6756.52</v>
      </c>
      <c r="E67" s="7">
        <f>SUM(E64:E65)</f>
        <v>1.86</v>
      </c>
      <c r="F67" s="7">
        <f>SUM(F64:F65)</f>
        <v>0</v>
      </c>
      <c r="G67" s="7">
        <f>SUM(G64:G65)</f>
        <v>0</v>
      </c>
      <c r="H67" s="7">
        <f>SUM(H64:H65)</f>
        <v>0</v>
      </c>
      <c r="I67" s="7"/>
      <c r="J67" s="7">
        <f>SUM(D67:H67)</f>
        <v>6758.38</v>
      </c>
      <c r="K67" s="1"/>
      <c r="L67" s="1"/>
    </row>
    <row r="68" spans="1:12">
      <c r="A68" s="1"/>
      <c r="B68" s="1"/>
      <c r="C68" s="1"/>
      <c r="D68" s="7"/>
      <c r="E68" s="7"/>
      <c r="F68" s="7"/>
      <c r="G68" s="7"/>
      <c r="H68" s="7"/>
      <c r="I68" s="7"/>
      <c r="J68" s="7"/>
      <c r="K68" s="1"/>
      <c r="L68" s="1"/>
    </row>
    <row r="69" spans="1:12">
      <c r="A69" s="1"/>
      <c r="B69" s="1"/>
      <c r="C69" s="1"/>
      <c r="D69" s="7"/>
      <c r="E69" s="7"/>
      <c r="F69" s="7"/>
      <c r="G69" s="7"/>
      <c r="H69" s="7"/>
      <c r="I69" s="7"/>
      <c r="J69" s="7"/>
      <c r="K69" s="1"/>
      <c r="L69" s="1"/>
    </row>
    <row r="70" spans="1:12">
      <c r="A70" s="1">
        <v>31</v>
      </c>
      <c r="B70" s="1" t="s">
        <v>24</v>
      </c>
      <c r="C70" s="1" t="s">
        <v>12</v>
      </c>
      <c r="D70" s="7">
        <v>4772.01</v>
      </c>
      <c r="E70" s="7">
        <v>0</v>
      </c>
      <c r="F70" s="7">
        <v>0</v>
      </c>
      <c r="G70" s="7">
        <v>0</v>
      </c>
      <c r="H70" s="7">
        <v>0</v>
      </c>
      <c r="I70" s="7"/>
      <c r="J70" s="7">
        <f>SUM(D70:H70)</f>
        <v>4772.01</v>
      </c>
      <c r="K70" s="1"/>
      <c r="L70" s="1"/>
    </row>
    <row r="71" spans="1:12">
      <c r="A71" s="1"/>
      <c r="B71" s="1"/>
      <c r="C71" s="1" t="s">
        <v>13</v>
      </c>
      <c r="D71" s="7">
        <v>193.34</v>
      </c>
      <c r="E71" s="7">
        <v>0</v>
      </c>
      <c r="F71" s="7">
        <v>0</v>
      </c>
      <c r="G71" s="7">
        <v>0</v>
      </c>
      <c r="H71" s="7">
        <v>0</v>
      </c>
      <c r="I71" s="7"/>
      <c r="J71" s="7">
        <f>SUM(D71:H71)</f>
        <v>193.34</v>
      </c>
      <c r="K71" s="1"/>
      <c r="L71" s="1"/>
    </row>
    <row r="72" spans="1:12">
      <c r="A72" s="1"/>
      <c r="B72" s="1"/>
      <c r="C72" s="1"/>
      <c r="D72" s="7"/>
      <c r="E72" s="7"/>
      <c r="F72" s="7"/>
      <c r="G72" s="7"/>
      <c r="H72" s="7"/>
      <c r="I72" s="7"/>
      <c r="J72" s="7"/>
      <c r="K72" s="1"/>
      <c r="L72" s="1"/>
    </row>
    <row r="73" spans="1:12">
      <c r="A73" s="1"/>
      <c r="B73" s="1"/>
      <c r="C73" s="1" t="s">
        <v>10</v>
      </c>
      <c r="D73" s="7">
        <f>SUM(D70:D71)</f>
        <v>4965.3500000000004</v>
      </c>
      <c r="E73" s="7">
        <f>SUM(E70:E71)</f>
        <v>0</v>
      </c>
      <c r="F73" s="7">
        <f>SUM(F70:F71)</f>
        <v>0</v>
      </c>
      <c r="G73" s="7">
        <f>SUM(G70:G71)</f>
        <v>0</v>
      </c>
      <c r="H73" s="7">
        <f>SUM(H70:H71)</f>
        <v>0</v>
      </c>
      <c r="I73" s="7"/>
      <c r="J73" s="7">
        <f>SUM(D73:H73)</f>
        <v>4965.3500000000004</v>
      </c>
      <c r="K73" s="1"/>
      <c r="L73" s="1"/>
    </row>
    <row r="74" spans="1:12">
      <c r="A74" s="1"/>
      <c r="B74" s="1"/>
      <c r="C74" s="1"/>
      <c r="D74" s="7"/>
      <c r="E74" s="7"/>
      <c r="F74" s="7"/>
      <c r="G74" s="7"/>
      <c r="H74" s="7"/>
      <c r="I74" s="7"/>
      <c r="J74" s="7"/>
      <c r="K74" s="1"/>
      <c r="L74" s="1"/>
    </row>
    <row r="75" spans="1:12">
      <c r="A75" s="1"/>
      <c r="B75" s="1"/>
      <c r="C75" s="1"/>
      <c r="D75" s="7"/>
      <c r="E75" s="7"/>
      <c r="F75" s="7"/>
      <c r="G75" s="7"/>
      <c r="H75" s="7"/>
      <c r="I75" s="7"/>
      <c r="J75" s="7"/>
      <c r="K75" s="1"/>
      <c r="L75" s="1"/>
    </row>
    <row r="76" spans="1:12">
      <c r="A76" s="1">
        <v>32</v>
      </c>
      <c r="B76" s="1" t="s">
        <v>25</v>
      </c>
      <c r="C76" s="1" t="s">
        <v>12</v>
      </c>
      <c r="D76" s="7">
        <v>10866.52</v>
      </c>
      <c r="E76" s="7">
        <v>37.72</v>
      </c>
      <c r="F76" s="7">
        <v>0.41</v>
      </c>
      <c r="G76" s="7">
        <v>0</v>
      </c>
      <c r="H76" s="7">
        <v>0</v>
      </c>
      <c r="I76" s="7"/>
      <c r="J76" s="7">
        <f>SUM(D76:H76)</f>
        <v>10904.65</v>
      </c>
      <c r="K76" s="1"/>
      <c r="L76" s="1"/>
    </row>
    <row r="77" spans="1:12">
      <c r="A77" s="1"/>
      <c r="B77" s="1"/>
      <c r="C77" s="1" t="s">
        <v>13</v>
      </c>
      <c r="D77" s="7">
        <v>252.99</v>
      </c>
      <c r="E77" s="7">
        <v>0.97</v>
      </c>
      <c r="F77" s="7">
        <v>0.16</v>
      </c>
      <c r="G77" s="7">
        <v>0</v>
      </c>
      <c r="H77" s="7">
        <v>0</v>
      </c>
      <c r="I77" s="7"/>
      <c r="J77" s="7">
        <f>SUM(D77:H77)</f>
        <v>254.12</v>
      </c>
      <c r="K77" s="1"/>
      <c r="L77" s="1"/>
    </row>
    <row r="78" spans="1:12">
      <c r="A78" s="1"/>
      <c r="B78" s="1"/>
      <c r="C78" s="1" t="s">
        <v>73</v>
      </c>
      <c r="D78" s="1">
        <v>1123.93</v>
      </c>
      <c r="E78" s="1">
        <v>3.95</v>
      </c>
      <c r="F78" s="1"/>
      <c r="G78" s="1"/>
      <c r="H78" s="1"/>
      <c r="I78" s="1"/>
      <c r="J78" s="7">
        <f>SUM(D78:H78)</f>
        <v>1127.8800000000001</v>
      </c>
      <c r="K78" s="1"/>
      <c r="L78" s="1"/>
    </row>
    <row r="79" spans="1:12">
      <c r="A79" s="1"/>
      <c r="B79" s="1"/>
      <c r="C79" s="1" t="s">
        <v>78</v>
      </c>
      <c r="D79" s="1">
        <v>1685.72</v>
      </c>
      <c r="E79" s="1"/>
      <c r="F79" s="1"/>
      <c r="G79" s="1"/>
      <c r="H79" s="1"/>
      <c r="I79" s="1"/>
      <c r="J79" s="7">
        <f>SUM(D79:H79)</f>
        <v>1685.72</v>
      </c>
      <c r="K79" s="1"/>
      <c r="L79" s="1"/>
    </row>
    <row r="80" spans="1:12">
      <c r="A80" s="1"/>
      <c r="B80" s="1"/>
      <c r="C80" s="1"/>
      <c r="D80" s="1"/>
      <c r="E80" s="1"/>
      <c r="F80" s="1"/>
      <c r="G80" s="1"/>
      <c r="H80" s="1"/>
      <c r="I80" s="1"/>
      <c r="J80" s="7"/>
      <c r="K80" s="1"/>
      <c r="L80" s="1"/>
    </row>
    <row r="81" spans="1:12">
      <c r="A81" s="1"/>
      <c r="B81" s="1"/>
      <c r="C81" s="1" t="s">
        <v>10</v>
      </c>
      <c r="D81" s="7">
        <f>SUM(D76:D79)</f>
        <v>13929.16</v>
      </c>
      <c r="E81" s="7">
        <f>SUM(E76:E79)</f>
        <v>42.64</v>
      </c>
      <c r="F81" s="7">
        <f>SUM(F76:F79)</f>
        <v>0.56999999999999995</v>
      </c>
      <c r="G81" s="7">
        <f>SUM(G76:G79)</f>
        <v>0</v>
      </c>
      <c r="H81" s="7">
        <f>SUM(H76:H79)</f>
        <v>0</v>
      </c>
      <c r="I81" s="7"/>
      <c r="J81" s="7">
        <f>SUM(J76:J79)</f>
        <v>13972.37</v>
      </c>
      <c r="K81" s="1"/>
      <c r="L81" s="1"/>
    </row>
    <row r="82" spans="1:12">
      <c r="A82" s="1"/>
      <c r="B82" s="1"/>
      <c r="C82" s="1"/>
      <c r="D82" s="7"/>
      <c r="E82" s="7"/>
      <c r="F82" s="7"/>
      <c r="G82" s="7"/>
      <c r="H82" s="7"/>
      <c r="I82" s="7"/>
      <c r="J82" s="7"/>
      <c r="K82" s="1"/>
      <c r="L82" s="1"/>
    </row>
    <row r="83" spans="1:12">
      <c r="A83" s="1"/>
      <c r="B83" s="1"/>
      <c r="C83" s="1"/>
      <c r="D83" s="7"/>
      <c r="E83" s="7"/>
      <c r="F83" s="7"/>
      <c r="G83" s="7"/>
      <c r="H83" s="7"/>
      <c r="I83" s="7"/>
      <c r="J83" s="7"/>
      <c r="K83" s="1"/>
      <c r="L83" s="1"/>
    </row>
    <row r="84" spans="1:12">
      <c r="A84" s="1">
        <v>33</v>
      </c>
      <c r="B84" s="1" t="s">
        <v>26</v>
      </c>
      <c r="C84" s="1" t="s">
        <v>12</v>
      </c>
      <c r="D84" s="7">
        <v>14211.44</v>
      </c>
      <c r="E84" s="7">
        <v>385.03</v>
      </c>
      <c r="F84" s="7">
        <v>166.16</v>
      </c>
      <c r="G84" s="7">
        <v>0</v>
      </c>
      <c r="H84" s="7">
        <v>0</v>
      </c>
      <c r="I84" s="7"/>
      <c r="J84" s="7">
        <f>SUM(D84:H84)</f>
        <v>14762.630000000001</v>
      </c>
      <c r="K84" s="1"/>
      <c r="L84" s="1"/>
    </row>
    <row r="85" spans="1:12">
      <c r="A85" s="1"/>
      <c r="B85" s="1"/>
      <c r="C85" s="1" t="s">
        <v>13</v>
      </c>
      <c r="D85" s="7">
        <v>178.63</v>
      </c>
      <c r="E85" s="7">
        <v>4.6900000000000004</v>
      </c>
      <c r="F85" s="7">
        <v>2.2400000000000002</v>
      </c>
      <c r="G85" s="7">
        <v>0</v>
      </c>
      <c r="H85" s="7">
        <v>0</v>
      </c>
      <c r="I85" s="7"/>
      <c r="J85" s="7">
        <f>SUM(D85:H85)</f>
        <v>185.56</v>
      </c>
      <c r="K85" s="1"/>
      <c r="L85" s="1"/>
    </row>
    <row r="86" spans="1:12">
      <c r="A86" s="1"/>
      <c r="B86" s="1"/>
      <c r="C86" s="1"/>
      <c r="D86" s="7"/>
      <c r="E86" s="7"/>
      <c r="F86" s="7"/>
      <c r="G86" s="7"/>
      <c r="H86" s="7"/>
      <c r="I86" s="7"/>
      <c r="J86" s="7"/>
      <c r="K86" s="1"/>
      <c r="L86" s="1"/>
    </row>
    <row r="87" spans="1:12">
      <c r="A87" s="1"/>
      <c r="B87" s="1"/>
      <c r="C87" s="1" t="s">
        <v>10</v>
      </c>
      <c r="D87" s="7">
        <f>SUM(D84:D85)</f>
        <v>14390.07</v>
      </c>
      <c r="E87" s="7">
        <f>SUM(E84:E85)</f>
        <v>389.71999999999997</v>
      </c>
      <c r="F87" s="7">
        <f>SUM(F84:F85)</f>
        <v>168.4</v>
      </c>
      <c r="G87" s="7">
        <f>SUM(G84:G85)</f>
        <v>0</v>
      </c>
      <c r="H87" s="7">
        <f>SUM(H84:H85)</f>
        <v>0</v>
      </c>
      <c r="I87" s="7"/>
      <c r="J87" s="7">
        <f>SUM(D87:H87)</f>
        <v>14948.189999999999</v>
      </c>
      <c r="K87" s="1"/>
      <c r="L87" s="1"/>
    </row>
    <row r="88" spans="1:12">
      <c r="A88" s="1"/>
      <c r="B88" s="1"/>
      <c r="C88" s="1"/>
      <c r="D88" s="7"/>
      <c r="E88" s="7"/>
      <c r="F88" s="7"/>
      <c r="G88" s="7"/>
      <c r="H88" s="7"/>
      <c r="I88" s="7"/>
      <c r="J88" s="7"/>
      <c r="K88" s="1"/>
      <c r="L88" s="1"/>
    </row>
    <row r="89" spans="1:12">
      <c r="A89" s="1"/>
      <c r="B89" s="1"/>
      <c r="C89" s="1"/>
      <c r="D89" s="7"/>
      <c r="E89" s="7"/>
      <c r="F89" s="7"/>
      <c r="G89" s="7"/>
      <c r="H89" s="7"/>
      <c r="I89" s="7"/>
      <c r="J89" s="7"/>
      <c r="K89" s="1"/>
      <c r="L89" s="1"/>
    </row>
    <row r="90" spans="1:12">
      <c r="A90" s="1">
        <v>34</v>
      </c>
      <c r="B90" s="1" t="s">
        <v>27</v>
      </c>
      <c r="C90" s="1" t="s">
        <v>12</v>
      </c>
      <c r="D90" s="7">
        <v>10095.08</v>
      </c>
      <c r="E90" s="7">
        <v>111.85</v>
      </c>
      <c r="F90" s="7">
        <v>112.68</v>
      </c>
      <c r="G90" s="7">
        <v>67.27</v>
      </c>
      <c r="H90" s="7">
        <v>75.14</v>
      </c>
      <c r="I90" s="7"/>
      <c r="J90" s="7">
        <f>SUM(D90:H90)</f>
        <v>10462.02</v>
      </c>
      <c r="K90" s="1"/>
      <c r="L90" s="1"/>
    </row>
    <row r="91" spans="1:12">
      <c r="A91" s="1"/>
      <c r="B91" s="1"/>
      <c r="C91" s="1" t="s">
        <v>13</v>
      </c>
      <c r="D91" s="7">
        <v>800.91</v>
      </c>
      <c r="E91" s="7">
        <v>8.69</v>
      </c>
      <c r="F91" s="7">
        <v>5.77</v>
      </c>
      <c r="G91" s="7">
        <v>3.18</v>
      </c>
      <c r="H91" s="7">
        <v>7.64</v>
      </c>
      <c r="I91" s="7"/>
      <c r="J91" s="7">
        <f>SUM(D91:H91)</f>
        <v>826.18999999999994</v>
      </c>
      <c r="K91" s="1"/>
      <c r="L91" s="1"/>
    </row>
    <row r="92" spans="1:12">
      <c r="A92" s="1"/>
      <c r="B92" s="1"/>
      <c r="C92" s="1"/>
      <c r="D92" s="7"/>
      <c r="E92" s="7"/>
      <c r="F92" s="7"/>
      <c r="G92" s="7"/>
      <c r="H92" s="7"/>
      <c r="I92" s="7"/>
      <c r="J92" s="7"/>
      <c r="K92" s="1"/>
      <c r="L92" s="1"/>
    </row>
    <row r="93" spans="1:12">
      <c r="A93" s="1"/>
      <c r="B93" s="1"/>
      <c r="C93" s="1" t="s">
        <v>10</v>
      </c>
      <c r="D93" s="7">
        <f>SUM(D90:D91)</f>
        <v>10895.99</v>
      </c>
      <c r="E93" s="7">
        <f>SUM(E90:E91)</f>
        <v>120.53999999999999</v>
      </c>
      <c r="F93" s="7">
        <f>SUM(F90:F91)</f>
        <v>118.45</v>
      </c>
      <c r="G93" s="7">
        <f>SUM(G90:G91)</f>
        <v>70.45</v>
      </c>
      <c r="H93" s="7">
        <f>SUM(H90:H91)</f>
        <v>82.78</v>
      </c>
      <c r="I93" s="7"/>
      <c r="J93" s="7">
        <f>SUM(D93:H93)</f>
        <v>11288.210000000003</v>
      </c>
      <c r="K93" s="1"/>
      <c r="L93" s="1"/>
    </row>
    <row r="94" spans="1:12">
      <c r="A94" s="1"/>
      <c r="B94" s="1"/>
      <c r="C94" s="1"/>
      <c r="D94" s="7"/>
      <c r="E94" s="7"/>
      <c r="F94" s="7"/>
      <c r="G94" s="7"/>
      <c r="H94" s="7"/>
      <c r="I94" s="7"/>
      <c r="J94" s="7"/>
      <c r="K94" s="1"/>
      <c r="L94" s="1"/>
    </row>
    <row r="95" spans="1:12">
      <c r="A95" s="1"/>
      <c r="B95" s="1"/>
      <c r="C95" s="1"/>
      <c r="D95" s="7"/>
      <c r="E95" s="7"/>
      <c r="F95" s="7"/>
      <c r="G95" s="7"/>
      <c r="H95" s="7"/>
      <c r="I95" s="7"/>
      <c r="J95" s="7"/>
      <c r="K95" s="1"/>
      <c r="L95" s="1"/>
    </row>
    <row r="96" spans="1:12">
      <c r="A96" s="1">
        <v>35</v>
      </c>
      <c r="B96" s="1" t="s">
        <v>28</v>
      </c>
      <c r="C96" s="1" t="s">
        <v>12</v>
      </c>
      <c r="D96" s="7">
        <v>9487.15</v>
      </c>
      <c r="E96" s="7">
        <v>211.55</v>
      </c>
      <c r="F96" s="7">
        <v>200.2</v>
      </c>
      <c r="G96" s="7">
        <v>81.42</v>
      </c>
      <c r="H96" s="7">
        <v>5.27</v>
      </c>
      <c r="I96" s="7"/>
      <c r="J96" s="7">
        <f>SUM(D96:H96)</f>
        <v>9985.59</v>
      </c>
      <c r="K96" s="1"/>
      <c r="L96" s="1"/>
    </row>
    <row r="97" spans="1:12">
      <c r="A97" s="1"/>
      <c r="B97" s="1"/>
      <c r="C97" s="1"/>
      <c r="D97" s="7"/>
      <c r="E97" s="7"/>
      <c r="F97" s="7"/>
      <c r="G97" s="7"/>
      <c r="H97" s="7" t="s">
        <v>70</v>
      </c>
      <c r="I97" s="7"/>
      <c r="J97" s="7">
        <f>SUM(D97:H97)</f>
        <v>0</v>
      </c>
      <c r="K97" s="1"/>
      <c r="L97" s="1"/>
    </row>
    <row r="98" spans="1:12">
      <c r="A98" s="1"/>
      <c r="B98" s="1"/>
      <c r="C98" s="1" t="s">
        <v>10</v>
      </c>
      <c r="D98" s="7">
        <f>SUM(D96:D97)</f>
        <v>9487.15</v>
      </c>
      <c r="E98" s="7">
        <f>SUM(E96:E97)</f>
        <v>211.55</v>
      </c>
      <c r="F98" s="7">
        <f>SUM(F96:F97)</f>
        <v>200.2</v>
      </c>
      <c r="G98" s="7">
        <f>SUM(G96:G97)</f>
        <v>81.42</v>
      </c>
      <c r="H98" s="7">
        <f>SUM(H96:H97)</f>
        <v>5.27</v>
      </c>
      <c r="I98" s="7"/>
      <c r="J98" s="7">
        <f>SUM(D98:H98)</f>
        <v>9985.59</v>
      </c>
      <c r="K98" s="1"/>
      <c r="L98" s="1"/>
    </row>
    <row r="99" spans="1:12">
      <c r="A99" s="1"/>
      <c r="B99" s="1"/>
      <c r="C99" s="1"/>
      <c r="D99" s="7"/>
      <c r="E99" s="7"/>
      <c r="F99" s="7"/>
      <c r="G99" s="7"/>
      <c r="H99" s="7"/>
      <c r="I99" s="7"/>
      <c r="J99" s="7"/>
      <c r="K99" s="1"/>
      <c r="L99" s="1"/>
    </row>
    <row r="100" spans="1:12">
      <c r="A100" s="1"/>
      <c r="B100" s="1"/>
      <c r="C100" s="1"/>
      <c r="D100" s="7"/>
      <c r="E100" s="7"/>
      <c r="F100" s="7"/>
      <c r="G100" s="7"/>
      <c r="H100" s="7"/>
      <c r="I100" s="7"/>
      <c r="J100" s="7"/>
      <c r="K100" s="1"/>
      <c r="L100" s="1"/>
    </row>
    <row r="101" spans="1:12">
      <c r="A101" s="1">
        <v>36</v>
      </c>
      <c r="B101" s="1" t="s">
        <v>29</v>
      </c>
      <c r="C101" s="1" t="s">
        <v>12</v>
      </c>
      <c r="D101" s="7">
        <v>9917.25</v>
      </c>
      <c r="E101" s="7">
        <v>352.64</v>
      </c>
      <c r="F101" s="7">
        <v>182.66</v>
      </c>
      <c r="G101" s="7">
        <v>147.94</v>
      </c>
      <c r="H101" s="7">
        <v>105.03</v>
      </c>
      <c r="I101" s="7"/>
      <c r="J101" s="7">
        <f>SUM(D101:H101)</f>
        <v>10705.52</v>
      </c>
      <c r="K101" s="1"/>
      <c r="L101" s="1"/>
    </row>
    <row r="102" spans="1:12">
      <c r="A102" s="1"/>
      <c r="B102" s="1"/>
      <c r="C102" s="1" t="s">
        <v>13</v>
      </c>
      <c r="D102" s="7">
        <v>561.02</v>
      </c>
      <c r="E102" s="7">
        <v>19.22</v>
      </c>
      <c r="F102" s="7">
        <v>6.59</v>
      </c>
      <c r="G102" s="7">
        <v>5.49</v>
      </c>
      <c r="H102" s="7">
        <v>8.66</v>
      </c>
      <c r="I102" s="7"/>
      <c r="J102" s="7">
        <f>SUM(D102:H102)</f>
        <v>600.98</v>
      </c>
      <c r="K102" s="1"/>
      <c r="L102" s="1"/>
    </row>
    <row r="103" spans="1:12">
      <c r="A103" s="1"/>
      <c r="B103" s="1"/>
      <c r="C103" s="1"/>
      <c r="D103" s="7"/>
      <c r="E103" s="7"/>
      <c r="F103" s="7"/>
      <c r="G103" s="7"/>
      <c r="H103" s="7"/>
      <c r="I103" s="7"/>
      <c r="J103" s="7"/>
      <c r="K103" s="1"/>
      <c r="L103" s="1"/>
    </row>
    <row r="104" spans="1:12">
      <c r="A104" s="1"/>
      <c r="B104" s="1"/>
      <c r="C104" s="1" t="s">
        <v>10</v>
      </c>
      <c r="D104" s="7">
        <f>SUM(D101:D102)</f>
        <v>10478.27</v>
      </c>
      <c r="E104" s="7">
        <f>SUM(E101:E102)</f>
        <v>371.86</v>
      </c>
      <c r="F104" s="7">
        <f>SUM(F101:F102)</f>
        <v>189.25</v>
      </c>
      <c r="G104" s="7">
        <f>SUM(G101:G102)</f>
        <v>153.43</v>
      </c>
      <c r="H104" s="7">
        <f>SUM(H101:H102)</f>
        <v>113.69</v>
      </c>
      <c r="I104" s="7"/>
      <c r="J104" s="7">
        <f>SUM(D104:H104)</f>
        <v>11306.500000000002</v>
      </c>
      <c r="K104" s="1"/>
      <c r="L104" s="1"/>
    </row>
    <row r="105" spans="1:12">
      <c r="A105" s="1"/>
      <c r="B105" s="1"/>
      <c r="C105" s="1"/>
      <c r="D105" s="7"/>
      <c r="E105" s="7"/>
      <c r="F105" s="7"/>
      <c r="G105" s="7"/>
      <c r="H105" s="7"/>
      <c r="I105" s="7"/>
      <c r="J105" s="7"/>
      <c r="K105" s="1"/>
      <c r="L105" s="1"/>
    </row>
    <row r="106" spans="1:12">
      <c r="A106" s="1"/>
      <c r="B106" s="1"/>
      <c r="C106" s="1"/>
      <c r="D106" s="7"/>
      <c r="E106" s="7"/>
      <c r="F106" s="7"/>
      <c r="G106" s="7"/>
      <c r="H106" s="7"/>
      <c r="I106" s="7"/>
      <c r="J106" s="7"/>
      <c r="K106" s="1"/>
      <c r="L106" s="1"/>
    </row>
    <row r="107" spans="1:12">
      <c r="A107" s="1">
        <v>37</v>
      </c>
      <c r="B107" s="1" t="s">
        <v>30</v>
      </c>
      <c r="C107" s="1" t="s">
        <v>12</v>
      </c>
      <c r="D107" s="7">
        <v>11285.85</v>
      </c>
      <c r="E107" s="7">
        <v>45.45</v>
      </c>
      <c r="F107" s="7">
        <v>31.02</v>
      </c>
      <c r="G107" s="7">
        <v>16.989999999999998</v>
      </c>
      <c r="H107" s="7">
        <v>8.35</v>
      </c>
      <c r="I107" s="7"/>
      <c r="J107" s="7">
        <f>SUM(D107:H107)</f>
        <v>11387.660000000002</v>
      </c>
      <c r="K107" s="1"/>
      <c r="L107" s="1"/>
    </row>
    <row r="108" spans="1:12">
      <c r="A108" s="1"/>
      <c r="B108" s="1"/>
      <c r="C108" s="1"/>
      <c r="D108" s="7"/>
      <c r="E108" s="7"/>
      <c r="F108" s="7"/>
      <c r="G108" s="7"/>
      <c r="H108" s="7"/>
      <c r="I108" s="7"/>
      <c r="J108" s="7">
        <f>SUM(D108:H108)</f>
        <v>0</v>
      </c>
      <c r="K108" s="1"/>
      <c r="L108" s="1"/>
    </row>
    <row r="109" spans="1:12">
      <c r="A109" s="1"/>
      <c r="B109" s="1"/>
      <c r="C109" s="1" t="s">
        <v>10</v>
      </c>
      <c r="D109" s="7">
        <f>SUM(D107:D108)</f>
        <v>11285.85</v>
      </c>
      <c r="E109" s="7">
        <f>SUM(E107:E108)</f>
        <v>45.45</v>
      </c>
      <c r="F109" s="7">
        <f>SUM(F107:F108)</f>
        <v>31.02</v>
      </c>
      <c r="G109" s="7">
        <f>SUM(G107:G108)</f>
        <v>16.989999999999998</v>
      </c>
      <c r="H109" s="7">
        <f>SUM(H107:H108)</f>
        <v>8.35</v>
      </c>
      <c r="I109" s="7"/>
      <c r="J109" s="7">
        <f>SUM(D109:H109)</f>
        <v>11387.660000000002</v>
      </c>
      <c r="K109" s="1"/>
      <c r="L109" s="1"/>
    </row>
    <row r="110" spans="1:12">
      <c r="A110" s="1"/>
      <c r="B110" s="1"/>
      <c r="C110" s="1"/>
      <c r="D110" s="7"/>
      <c r="E110" s="7"/>
      <c r="F110" s="7"/>
      <c r="G110" s="7"/>
      <c r="H110" s="7" t="s">
        <v>70</v>
      </c>
      <c r="I110" s="7"/>
      <c r="J110" s="7"/>
      <c r="K110" s="1"/>
      <c r="L110" s="1"/>
    </row>
    <row r="111" spans="1:12">
      <c r="A111" s="1"/>
      <c r="B111" s="1"/>
      <c r="C111" s="1"/>
      <c r="D111" s="7"/>
      <c r="E111" s="7"/>
      <c r="F111" s="7"/>
      <c r="G111" s="7"/>
      <c r="H111" s="7"/>
      <c r="I111" s="7"/>
      <c r="J111" s="7"/>
      <c r="K111" s="1"/>
      <c r="L111" s="1"/>
    </row>
    <row r="112" spans="1:12">
      <c r="A112" s="1">
        <v>38</v>
      </c>
      <c r="B112" s="1" t="s">
        <v>31</v>
      </c>
      <c r="C112" s="1" t="s">
        <v>12</v>
      </c>
      <c r="D112" s="7">
        <v>15119.06</v>
      </c>
      <c r="E112" s="7">
        <v>230.62</v>
      </c>
      <c r="F112" s="7">
        <v>239.27</v>
      </c>
      <c r="G112" s="7">
        <v>99.62</v>
      </c>
      <c r="H112" s="7">
        <v>99.3</v>
      </c>
      <c r="I112" s="7"/>
      <c r="J112" s="7">
        <f>SUM(D112:H112)</f>
        <v>15787.87</v>
      </c>
      <c r="K112" s="1"/>
      <c r="L112" s="1"/>
    </row>
    <row r="113" spans="1:12">
      <c r="A113" s="1"/>
      <c r="B113" s="1"/>
      <c r="C113" s="1" t="s">
        <v>13</v>
      </c>
      <c r="D113" s="7">
        <v>1245.4100000000001</v>
      </c>
      <c r="E113" s="7">
        <v>20.45</v>
      </c>
      <c r="F113" s="7">
        <v>14.18</v>
      </c>
      <c r="G113" s="7">
        <v>6.34</v>
      </c>
      <c r="H113" s="7">
        <v>12.84</v>
      </c>
      <c r="I113" s="7"/>
      <c r="J113" s="7">
        <f>SUM(D113:H113)</f>
        <v>1299.22</v>
      </c>
      <c r="K113" s="1"/>
      <c r="L113" s="1"/>
    </row>
    <row r="114" spans="1:12">
      <c r="A114" s="1"/>
      <c r="B114" s="1"/>
      <c r="C114" s="1"/>
      <c r="D114" s="7"/>
      <c r="E114" s="7"/>
      <c r="F114" s="7"/>
      <c r="G114" s="7"/>
      <c r="H114" s="7"/>
      <c r="I114" s="7"/>
      <c r="J114" s="7"/>
      <c r="K114" s="1"/>
      <c r="L114" s="1"/>
    </row>
    <row r="115" spans="1:12">
      <c r="A115" s="1"/>
      <c r="B115" s="1"/>
      <c r="C115" s="1" t="s">
        <v>10</v>
      </c>
      <c r="D115" s="7">
        <f>SUM(D112:D113)</f>
        <v>16364.47</v>
      </c>
      <c r="E115" s="7">
        <f>SUM(E112:E113)</f>
        <v>251.07</v>
      </c>
      <c r="F115" s="7">
        <f>SUM(F112:F113)</f>
        <v>253.45000000000002</v>
      </c>
      <c r="G115" s="7">
        <f>SUM(G112:G113)</f>
        <v>105.96000000000001</v>
      </c>
      <c r="H115" s="7">
        <f>SUM(H112:H113)</f>
        <v>112.14</v>
      </c>
      <c r="I115" s="7"/>
      <c r="J115" s="7">
        <f>SUM(D115:H115)</f>
        <v>17087.09</v>
      </c>
      <c r="K115" s="1"/>
      <c r="L115" s="1"/>
    </row>
    <row r="116" spans="1:12">
      <c r="A116" s="1"/>
      <c r="B116" s="1"/>
      <c r="C116" s="1"/>
      <c r="D116" s="7"/>
      <c r="E116" s="7"/>
      <c r="F116" s="7"/>
      <c r="G116" s="7"/>
      <c r="H116" s="7"/>
      <c r="I116" s="7"/>
      <c r="J116" s="7"/>
      <c r="K116" s="1"/>
      <c r="L116" s="1"/>
    </row>
    <row r="117" spans="1:12">
      <c r="A117" s="1"/>
      <c r="B117" s="1"/>
      <c r="C117" s="1"/>
      <c r="D117" s="7"/>
      <c r="E117" s="7"/>
      <c r="F117" s="7"/>
      <c r="G117" s="7"/>
      <c r="H117" s="7"/>
      <c r="I117" s="7"/>
      <c r="J117" s="7"/>
      <c r="K117" s="1"/>
      <c r="L117" s="1"/>
    </row>
    <row r="118" spans="1:12">
      <c r="A118" s="1">
        <v>39</v>
      </c>
      <c r="B118" s="1" t="s">
        <v>32</v>
      </c>
      <c r="C118" s="1" t="s">
        <v>12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/>
      <c r="J118" s="7">
        <f>SUM(D118:H118)</f>
        <v>0</v>
      </c>
      <c r="K118" s="1"/>
      <c r="L118" s="1"/>
    </row>
    <row r="119" spans="1:12">
      <c r="A119" s="1"/>
      <c r="B119" s="1"/>
      <c r="C119" s="1"/>
      <c r="D119" s="7"/>
      <c r="E119" s="7"/>
      <c r="F119" s="7"/>
      <c r="G119" s="7"/>
      <c r="H119" s="7"/>
      <c r="I119" s="7"/>
      <c r="J119" s="7">
        <f>SUM(D119:H119)</f>
        <v>0</v>
      </c>
      <c r="K119" s="1"/>
      <c r="L119" s="1"/>
    </row>
    <row r="120" spans="1:12">
      <c r="A120" s="1"/>
      <c r="B120" s="1"/>
      <c r="C120" s="1" t="s">
        <v>10</v>
      </c>
      <c r="D120" s="7"/>
      <c r="E120" s="7"/>
      <c r="F120" s="7"/>
      <c r="G120" s="7"/>
      <c r="H120" s="7"/>
      <c r="I120" s="7"/>
      <c r="J120" s="7">
        <f>SUM(D120:H120)</f>
        <v>0</v>
      </c>
      <c r="K120" s="1"/>
      <c r="L120" s="1"/>
    </row>
    <row r="121" spans="1:12">
      <c r="A121" s="1"/>
      <c r="B121" s="1"/>
      <c r="C121" s="1"/>
      <c r="D121" s="7"/>
      <c r="E121" s="7"/>
      <c r="F121" s="7"/>
      <c r="G121" s="7"/>
      <c r="H121" s="7"/>
      <c r="I121" s="7"/>
      <c r="J121" s="7"/>
      <c r="K121" s="1"/>
      <c r="L121" s="1"/>
    </row>
    <row r="122" spans="1:12">
      <c r="A122" s="1"/>
      <c r="B122" s="1"/>
      <c r="C122" s="1"/>
      <c r="D122" s="7"/>
      <c r="E122" s="7"/>
      <c r="F122" s="7"/>
      <c r="G122" s="7"/>
      <c r="H122" s="7"/>
      <c r="I122" s="7"/>
      <c r="J122" s="7"/>
      <c r="K122" s="1"/>
      <c r="L122" s="1"/>
    </row>
    <row r="123" spans="1:12">
      <c r="A123" s="1">
        <v>40</v>
      </c>
      <c r="B123" s="1" t="s">
        <v>33</v>
      </c>
      <c r="C123" s="1" t="s">
        <v>12</v>
      </c>
      <c r="D123" s="7">
        <v>13532.98</v>
      </c>
      <c r="E123" s="7">
        <v>843.19</v>
      </c>
      <c r="F123" s="7">
        <v>352.15</v>
      </c>
      <c r="G123" s="7">
        <v>19.96</v>
      </c>
      <c r="H123" s="7">
        <v>0</v>
      </c>
      <c r="I123" s="7"/>
      <c r="J123" s="7">
        <f>SUM(D123:H123)</f>
        <v>14748.279999999999</v>
      </c>
      <c r="K123" s="1"/>
      <c r="L123" s="1"/>
    </row>
    <row r="124" spans="1:12">
      <c r="A124" s="1"/>
      <c r="B124" s="1"/>
      <c r="C124" s="1"/>
      <c r="D124" s="7"/>
      <c r="E124" s="7"/>
      <c r="F124" s="7"/>
      <c r="G124" s="7"/>
      <c r="H124" s="7"/>
      <c r="I124" s="7"/>
      <c r="J124" s="7">
        <f>SUM(D124:H124)</f>
        <v>0</v>
      </c>
      <c r="K124" s="1"/>
      <c r="L124" s="1"/>
    </row>
    <row r="125" spans="1:12">
      <c r="A125" s="1"/>
      <c r="B125" s="1"/>
      <c r="C125" s="1" t="s">
        <v>10</v>
      </c>
      <c r="D125" s="7">
        <f>SUM(D123:D124)</f>
        <v>13532.98</v>
      </c>
      <c r="E125" s="7">
        <f>SUM(E123:E124)</f>
        <v>843.19</v>
      </c>
      <c r="F125" s="7">
        <f>SUM(F123:F124)</f>
        <v>352.15</v>
      </c>
      <c r="G125" s="7">
        <f>SUM(G123:G124)</f>
        <v>19.96</v>
      </c>
      <c r="H125" s="7">
        <f>SUM(H123:H124)</f>
        <v>0</v>
      </c>
      <c r="I125" s="7"/>
      <c r="J125" s="7">
        <f>SUM(D125:H125)</f>
        <v>14748.279999999999</v>
      </c>
      <c r="K125" s="1"/>
      <c r="L125" s="1"/>
    </row>
    <row r="126" spans="1:12">
      <c r="A126" s="1"/>
      <c r="B126" s="1"/>
      <c r="C126" s="1"/>
      <c r="D126" s="7"/>
      <c r="E126" s="7"/>
      <c r="F126" s="7"/>
      <c r="G126" s="7"/>
      <c r="H126" s="7"/>
      <c r="I126" s="7"/>
      <c r="J126" s="7"/>
      <c r="K126" s="1"/>
      <c r="L126" s="1"/>
    </row>
    <row r="127" spans="1:12">
      <c r="A127" s="1"/>
      <c r="B127" s="1"/>
      <c r="C127" s="1"/>
      <c r="D127" s="7"/>
      <c r="E127" s="7"/>
      <c r="F127" s="7"/>
      <c r="G127" s="7"/>
      <c r="H127" s="7"/>
      <c r="I127" s="7"/>
      <c r="J127" s="7"/>
      <c r="K127" s="1"/>
      <c r="L127" s="1"/>
    </row>
    <row r="128" spans="1:12">
      <c r="A128" s="1">
        <v>41</v>
      </c>
      <c r="B128" s="1" t="s">
        <v>34</v>
      </c>
      <c r="C128" s="1" t="s">
        <v>12</v>
      </c>
      <c r="D128" s="7">
        <v>10644.59</v>
      </c>
      <c r="E128" s="7">
        <v>0</v>
      </c>
      <c r="F128" s="7">
        <v>0</v>
      </c>
      <c r="G128" s="7">
        <v>0</v>
      </c>
      <c r="H128" s="7">
        <v>0</v>
      </c>
      <c r="I128" s="7"/>
      <c r="J128" s="7">
        <f>SUM(D128:H128)</f>
        <v>10644.59</v>
      </c>
      <c r="K128" s="1"/>
      <c r="L128" s="1"/>
    </row>
    <row r="129" spans="1:12">
      <c r="A129" s="1"/>
      <c r="B129" s="1"/>
      <c r="C129" s="1" t="s">
        <v>35</v>
      </c>
      <c r="D129" s="7"/>
      <c r="E129" s="7">
        <v>0</v>
      </c>
      <c r="F129" s="7">
        <v>0</v>
      </c>
      <c r="G129" s="7">
        <v>0</v>
      </c>
      <c r="H129" s="7">
        <v>0</v>
      </c>
      <c r="I129" s="7"/>
      <c r="J129" s="7">
        <f>SUM(D129:H129)</f>
        <v>0</v>
      </c>
      <c r="K129" s="1"/>
      <c r="L129" s="1"/>
    </row>
    <row r="130" spans="1:12">
      <c r="A130" s="1"/>
      <c r="B130" s="1"/>
      <c r="C130" s="1"/>
      <c r="D130" s="7"/>
      <c r="E130" s="7"/>
      <c r="F130" s="7"/>
      <c r="G130" s="7"/>
      <c r="H130" s="7"/>
      <c r="I130" s="7"/>
      <c r="J130" s="7"/>
      <c r="K130" s="1"/>
      <c r="L130" s="1"/>
    </row>
    <row r="131" spans="1:12">
      <c r="A131" s="1"/>
      <c r="B131" s="1"/>
      <c r="C131" s="1" t="s">
        <v>10</v>
      </c>
      <c r="D131" s="7">
        <f>SUM(D128:D129)</f>
        <v>10644.59</v>
      </c>
      <c r="E131" s="7">
        <f>SUM(E128:E129)</f>
        <v>0</v>
      </c>
      <c r="F131" s="7">
        <f>SUM(F128:F129)</f>
        <v>0</v>
      </c>
      <c r="G131" s="7">
        <f>SUM(G128:G129)</f>
        <v>0</v>
      </c>
      <c r="H131" s="7">
        <f>SUM(H128:H129)</f>
        <v>0</v>
      </c>
      <c r="I131" s="7"/>
      <c r="J131" s="7">
        <f>SUM(D131:H131)</f>
        <v>10644.59</v>
      </c>
      <c r="K131" s="1"/>
      <c r="L131" s="1"/>
    </row>
    <row r="132" spans="1:12">
      <c r="A132" s="1"/>
      <c r="B132" s="1"/>
      <c r="C132" s="1"/>
      <c r="D132" s="7"/>
      <c r="E132" s="7"/>
      <c r="F132" s="7"/>
      <c r="G132" s="7"/>
      <c r="H132" s="7"/>
      <c r="I132" s="7"/>
      <c r="J132" s="7"/>
      <c r="K132" s="1"/>
      <c r="L132" s="1"/>
    </row>
    <row r="133" spans="1:12">
      <c r="A133" s="1"/>
      <c r="B133" s="1"/>
      <c r="C133" s="1"/>
      <c r="D133" s="7"/>
      <c r="E133" s="7"/>
      <c r="F133" s="7"/>
      <c r="G133" s="7"/>
      <c r="H133" s="7"/>
      <c r="I133" s="7"/>
      <c r="J133" s="7"/>
      <c r="K133" s="1"/>
      <c r="L133" s="1"/>
    </row>
    <row r="134" spans="1:12">
      <c r="A134" s="1">
        <v>42</v>
      </c>
      <c r="B134" s="1" t="s">
        <v>36</v>
      </c>
      <c r="C134" s="1" t="s">
        <v>12</v>
      </c>
      <c r="D134" s="7">
        <v>10223.299999999999</v>
      </c>
      <c r="E134" s="7">
        <v>3.86</v>
      </c>
      <c r="F134" s="7">
        <v>0</v>
      </c>
      <c r="G134" s="7">
        <v>0</v>
      </c>
      <c r="H134" s="7">
        <v>0</v>
      </c>
      <c r="I134" s="7"/>
      <c r="J134" s="7">
        <f>SUM(D134:H134)</f>
        <v>10227.16</v>
      </c>
      <c r="K134" s="1"/>
      <c r="L134" s="1"/>
    </row>
    <row r="135" spans="1:12">
      <c r="A135" s="1"/>
      <c r="B135" s="1"/>
      <c r="C135" s="1" t="s">
        <v>13</v>
      </c>
      <c r="D135" s="7">
        <v>469.82</v>
      </c>
      <c r="E135" s="7">
        <v>0</v>
      </c>
      <c r="F135" s="7">
        <v>0</v>
      </c>
      <c r="G135" s="7">
        <v>0</v>
      </c>
      <c r="H135" s="7">
        <v>0</v>
      </c>
      <c r="I135" s="7"/>
      <c r="J135" s="7">
        <f>SUM(D135:H135)</f>
        <v>469.82</v>
      </c>
      <c r="K135" s="1"/>
      <c r="L135" s="1"/>
    </row>
    <row r="136" spans="1:12">
      <c r="A136" s="1"/>
      <c r="B136" s="1"/>
      <c r="C136" s="1"/>
      <c r="D136" s="7"/>
      <c r="E136" s="7"/>
      <c r="F136" s="7"/>
      <c r="G136" s="7"/>
      <c r="H136" s="7"/>
      <c r="I136" s="7"/>
      <c r="J136" s="7"/>
      <c r="K136" s="1"/>
      <c r="L136" s="1"/>
    </row>
    <row r="137" spans="1:12">
      <c r="A137" s="1"/>
      <c r="B137" s="1"/>
      <c r="C137" s="1" t="s">
        <v>10</v>
      </c>
      <c r="D137" s="7">
        <f>SUM(D134:D135)</f>
        <v>10693.119999999999</v>
      </c>
      <c r="E137" s="7">
        <f>SUM(E134:E135)</f>
        <v>3.86</v>
      </c>
      <c r="F137" s="7">
        <f>SUM(F134:F135)</f>
        <v>0</v>
      </c>
      <c r="G137" s="7">
        <f>SUM(G134:G135)</f>
        <v>0</v>
      </c>
      <c r="H137" s="7">
        <f>SUM(H134:H135)</f>
        <v>0</v>
      </c>
      <c r="I137" s="7"/>
      <c r="J137" s="7">
        <f>SUM(D137:H137)</f>
        <v>10696.98</v>
      </c>
      <c r="K137" s="1"/>
      <c r="L137" s="1"/>
    </row>
    <row r="138" spans="1:12">
      <c r="A138" s="1"/>
      <c r="B138" s="1"/>
      <c r="C138" s="1"/>
      <c r="D138" s="7"/>
      <c r="E138" s="7"/>
      <c r="F138" s="7"/>
      <c r="G138" s="7"/>
      <c r="H138" s="7"/>
      <c r="I138" s="7"/>
      <c r="J138" s="7"/>
      <c r="K138" s="1"/>
      <c r="L138" s="1"/>
    </row>
    <row r="139" spans="1:12">
      <c r="A139" s="1"/>
      <c r="B139" s="1"/>
      <c r="C139" s="1"/>
      <c r="D139" s="7"/>
      <c r="E139" s="7"/>
      <c r="F139" s="7"/>
      <c r="G139" s="7"/>
      <c r="H139" s="7"/>
      <c r="I139" s="7"/>
      <c r="J139" s="7"/>
      <c r="K139" s="1"/>
      <c r="L139" s="1"/>
    </row>
    <row r="140" spans="1:12">
      <c r="A140" s="1">
        <v>43</v>
      </c>
      <c r="B140" s="1" t="s">
        <v>37</v>
      </c>
      <c r="C140" s="1" t="s">
        <v>12</v>
      </c>
      <c r="D140" s="7">
        <v>15367.65</v>
      </c>
      <c r="E140" s="7">
        <v>0</v>
      </c>
      <c r="F140" s="7">
        <v>0</v>
      </c>
      <c r="G140" s="7">
        <v>0</v>
      </c>
      <c r="H140" s="7">
        <v>0</v>
      </c>
      <c r="I140" s="7"/>
      <c r="J140" s="7">
        <f>SUM(D140:H140)</f>
        <v>15367.65</v>
      </c>
      <c r="K140" s="1"/>
      <c r="L140" s="1"/>
    </row>
    <row r="141" spans="1:12">
      <c r="A141" s="1"/>
      <c r="B141" s="1"/>
      <c r="C141" s="1" t="s">
        <v>35</v>
      </c>
      <c r="D141" s="7">
        <v>681.66</v>
      </c>
      <c r="E141" s="7"/>
      <c r="F141" s="7"/>
      <c r="G141" s="7"/>
      <c r="H141" s="7"/>
      <c r="I141" s="7"/>
      <c r="J141" s="7">
        <f>SUM(D141:H141)</f>
        <v>681.66</v>
      </c>
      <c r="K141" s="1"/>
      <c r="L141" s="1"/>
    </row>
    <row r="142" spans="1:12">
      <c r="A142" s="1"/>
      <c r="B142" s="1"/>
      <c r="C142" s="1" t="s">
        <v>13</v>
      </c>
      <c r="D142" s="7">
        <v>1022.26</v>
      </c>
      <c r="E142" s="7">
        <v>0</v>
      </c>
      <c r="F142" s="7">
        <v>0</v>
      </c>
      <c r="G142" s="7">
        <v>0</v>
      </c>
      <c r="H142" s="7">
        <v>0</v>
      </c>
      <c r="I142" s="7"/>
      <c r="J142" s="7">
        <f>SUM(D142:H142)</f>
        <v>1022.26</v>
      </c>
      <c r="K142" s="1"/>
      <c r="L142" s="1"/>
    </row>
    <row r="143" spans="1:12">
      <c r="A143" s="1"/>
      <c r="B143" s="1"/>
      <c r="C143" s="1"/>
      <c r="D143" s="7"/>
      <c r="E143" s="7"/>
      <c r="F143" s="7"/>
      <c r="G143" s="7"/>
      <c r="H143" s="7"/>
      <c r="I143" s="7"/>
      <c r="J143" s="7"/>
      <c r="K143" s="1"/>
      <c r="L143" s="1"/>
    </row>
    <row r="144" spans="1:12">
      <c r="A144" s="1"/>
      <c r="B144" s="1"/>
      <c r="C144" s="1" t="s">
        <v>10</v>
      </c>
      <c r="D144" s="7">
        <f>SUM(D140:D142)</f>
        <v>17071.57</v>
      </c>
      <c r="E144" s="7">
        <f>SUM(E140:E142)</f>
        <v>0</v>
      </c>
      <c r="F144" s="7">
        <f>SUM(F140:F142)</f>
        <v>0</v>
      </c>
      <c r="G144" s="7">
        <f>SUM(G140:G142)</f>
        <v>0</v>
      </c>
      <c r="H144" s="7">
        <f>SUM(H140:H142)</f>
        <v>0</v>
      </c>
      <c r="I144" s="7"/>
      <c r="J144" s="7">
        <f>SUM(D144:H144)</f>
        <v>17071.57</v>
      </c>
      <c r="K144" s="1"/>
      <c r="L144" s="1"/>
    </row>
    <row r="145" spans="1:12">
      <c r="A145" s="1"/>
      <c r="B145" s="1"/>
      <c r="C145" s="1"/>
      <c r="D145" s="7"/>
      <c r="E145" s="7"/>
      <c r="F145" s="7"/>
      <c r="G145" s="7"/>
      <c r="H145" s="7"/>
      <c r="I145" s="7"/>
      <c r="J145" s="7"/>
      <c r="K145" s="1"/>
      <c r="L145" s="1"/>
    </row>
    <row r="146" spans="1:12">
      <c r="A146" s="1"/>
      <c r="B146" s="1"/>
      <c r="C146" s="1"/>
      <c r="D146" s="7"/>
      <c r="E146" s="7"/>
      <c r="F146" s="7"/>
      <c r="G146" s="7"/>
      <c r="H146" s="7"/>
      <c r="I146" s="7"/>
      <c r="J146" s="7"/>
      <c r="K146" s="1"/>
      <c r="L146" s="1"/>
    </row>
    <row r="147" spans="1:12">
      <c r="A147" s="1">
        <v>44</v>
      </c>
      <c r="B147" s="1" t="s">
        <v>38</v>
      </c>
      <c r="C147" s="1" t="s">
        <v>12</v>
      </c>
      <c r="D147" s="7">
        <v>13892.59</v>
      </c>
      <c r="E147" s="7">
        <v>266.54000000000002</v>
      </c>
      <c r="F147" s="7">
        <v>263.58999999999997</v>
      </c>
      <c r="G147" s="7">
        <v>199.08</v>
      </c>
      <c r="H147" s="7">
        <v>153.6</v>
      </c>
      <c r="I147" s="7"/>
      <c r="J147" s="7">
        <f>SUM(D147:H147)</f>
        <v>14775.400000000001</v>
      </c>
      <c r="K147" s="1"/>
      <c r="L147" s="1"/>
    </row>
    <row r="148" spans="1:12">
      <c r="A148" s="1"/>
      <c r="B148" s="1"/>
      <c r="C148" s="1"/>
      <c r="D148" s="7"/>
      <c r="E148" s="7"/>
      <c r="F148" s="7"/>
      <c r="G148" s="7"/>
      <c r="H148" s="7"/>
      <c r="I148" s="7"/>
      <c r="J148" s="7">
        <f>SUM(D148:H148)</f>
        <v>0</v>
      </c>
      <c r="K148" s="1"/>
      <c r="L148" s="1"/>
    </row>
    <row r="149" spans="1:12">
      <c r="A149" s="1"/>
      <c r="B149" s="1"/>
      <c r="C149" s="1" t="s">
        <v>10</v>
      </c>
      <c r="D149" s="7">
        <f>SUM(D147:D148)</f>
        <v>13892.59</v>
      </c>
      <c r="E149" s="7">
        <f>SUM(E147:E148)</f>
        <v>266.54000000000002</v>
      </c>
      <c r="F149" s="7">
        <f>SUM(F147:F148)</f>
        <v>263.58999999999997</v>
      </c>
      <c r="G149" s="7">
        <f>SUM(G147:G148)</f>
        <v>199.08</v>
      </c>
      <c r="H149" s="7">
        <f>SUM(H147:H148)</f>
        <v>153.6</v>
      </c>
      <c r="I149" s="7"/>
      <c r="J149" s="7">
        <f>SUM(D149:H149)</f>
        <v>14775.400000000001</v>
      </c>
      <c r="K149" s="1"/>
      <c r="L149" s="1"/>
    </row>
    <row r="150" spans="1:12">
      <c r="A150" s="1"/>
      <c r="B150" s="1"/>
      <c r="C150" s="1"/>
      <c r="D150" s="7" t="s">
        <v>70</v>
      </c>
      <c r="E150" s="7" t="s">
        <v>70</v>
      </c>
      <c r="F150" s="7" t="s">
        <v>70</v>
      </c>
      <c r="G150" s="7" t="s">
        <v>70</v>
      </c>
      <c r="H150" s="7" t="s">
        <v>70</v>
      </c>
      <c r="I150" s="7"/>
      <c r="J150" s="7"/>
      <c r="K150" s="1"/>
      <c r="L150" s="1"/>
    </row>
    <row r="151" spans="1:12">
      <c r="A151" s="1"/>
      <c r="B151" s="1"/>
      <c r="C151" s="1"/>
      <c r="D151" s="7"/>
      <c r="E151" s="7"/>
      <c r="F151" s="7"/>
      <c r="G151" s="7"/>
      <c r="H151" s="7"/>
      <c r="I151" s="7"/>
      <c r="J151" s="7"/>
      <c r="K151" s="1"/>
      <c r="L151" s="1"/>
    </row>
    <row r="152" spans="1:12">
      <c r="A152" s="1">
        <v>45</v>
      </c>
      <c r="B152" s="1" t="s">
        <v>39</v>
      </c>
      <c r="C152" s="1" t="s">
        <v>12</v>
      </c>
      <c r="D152" s="7">
        <v>8412.94</v>
      </c>
      <c r="E152" s="7">
        <v>11.29</v>
      </c>
      <c r="F152" s="7">
        <v>11.18</v>
      </c>
      <c r="G152" s="7">
        <v>0.23</v>
      </c>
      <c r="H152" s="7">
        <v>0.26</v>
      </c>
      <c r="I152" s="7"/>
      <c r="J152" s="7">
        <f>SUM(D152:H152)</f>
        <v>8435.9000000000015</v>
      </c>
      <c r="K152" s="1"/>
      <c r="L152" s="1"/>
    </row>
    <row r="153" spans="1:12">
      <c r="A153" s="1"/>
      <c r="B153" s="1"/>
      <c r="C153" s="1"/>
      <c r="D153" s="7"/>
      <c r="E153" s="7"/>
      <c r="F153" s="7"/>
      <c r="G153" s="7"/>
      <c r="H153" s="7"/>
      <c r="I153" s="7"/>
      <c r="J153" s="7">
        <f>SUM(D153:H153)</f>
        <v>0</v>
      </c>
      <c r="K153" s="1"/>
      <c r="L153" s="1"/>
    </row>
    <row r="154" spans="1:12">
      <c r="A154" s="1"/>
      <c r="B154" s="1"/>
      <c r="C154" s="1" t="s">
        <v>10</v>
      </c>
      <c r="D154" s="7">
        <f>SUM(D152:D153)</f>
        <v>8412.94</v>
      </c>
      <c r="E154" s="7">
        <f>SUM(E152:E153)</f>
        <v>11.29</v>
      </c>
      <c r="F154" s="7">
        <f>SUM(F152:F153)</f>
        <v>11.18</v>
      </c>
      <c r="G154" s="7">
        <f>SUM(G152:G153)</f>
        <v>0.23</v>
      </c>
      <c r="H154" s="7">
        <f>SUM(H152:H153)</f>
        <v>0.26</v>
      </c>
      <c r="I154" s="7"/>
      <c r="J154" s="7">
        <f>SUM(D154:H154)</f>
        <v>8435.9000000000015</v>
      </c>
      <c r="K154" s="1"/>
      <c r="L154" s="1"/>
    </row>
    <row r="155" spans="1:12">
      <c r="A155" s="1"/>
      <c r="B155" s="1"/>
      <c r="C155" s="1"/>
      <c r="D155" s="7"/>
      <c r="E155" s="7"/>
      <c r="F155" s="7"/>
      <c r="G155" s="7"/>
      <c r="H155" s="7"/>
      <c r="I155" s="7"/>
      <c r="J155" s="7"/>
      <c r="K155" s="1"/>
      <c r="L155" s="1"/>
    </row>
    <row r="156" spans="1:12">
      <c r="A156" s="1"/>
      <c r="B156" s="1"/>
      <c r="C156" s="1"/>
      <c r="D156" s="7"/>
      <c r="E156" s="7"/>
      <c r="F156" s="7"/>
      <c r="G156" s="7"/>
      <c r="H156" s="7"/>
      <c r="I156" s="7"/>
      <c r="J156" s="7"/>
      <c r="K156" s="1"/>
      <c r="L156" s="1"/>
    </row>
    <row r="157" spans="1:12">
      <c r="A157" s="1">
        <v>46</v>
      </c>
      <c r="B157" s="1" t="s">
        <v>40</v>
      </c>
      <c r="C157" s="1" t="s">
        <v>12</v>
      </c>
      <c r="D157" s="7">
        <v>6685.93</v>
      </c>
      <c r="E157" s="7">
        <v>173.54</v>
      </c>
      <c r="F157" s="7">
        <v>0</v>
      </c>
      <c r="G157" s="7">
        <v>0</v>
      </c>
      <c r="H157" s="7">
        <v>0</v>
      </c>
      <c r="I157" s="7"/>
      <c r="J157" s="7">
        <f>SUM(D157:H157)</f>
        <v>6859.47</v>
      </c>
      <c r="K157" s="1"/>
      <c r="L157" s="1"/>
    </row>
    <row r="158" spans="1:12">
      <c r="A158" s="1"/>
      <c r="B158" s="1"/>
      <c r="C158" s="1"/>
      <c r="D158" s="7"/>
      <c r="E158" s="7"/>
      <c r="F158" s="7"/>
      <c r="G158" s="7"/>
      <c r="H158" s="7"/>
      <c r="I158" s="7"/>
      <c r="J158" s="7">
        <f>SUM(D158:H158)</f>
        <v>0</v>
      </c>
      <c r="K158" s="1"/>
      <c r="L158" s="1"/>
    </row>
    <row r="159" spans="1:12">
      <c r="A159" s="1"/>
      <c r="B159" s="1"/>
      <c r="C159" s="1" t="s">
        <v>10</v>
      </c>
      <c r="D159" s="7">
        <f>SUM(D157:D158)</f>
        <v>6685.93</v>
      </c>
      <c r="E159" s="7">
        <f>SUM(E157:E158)</f>
        <v>173.54</v>
      </c>
      <c r="F159" s="7">
        <f>SUM(F157:F158)</f>
        <v>0</v>
      </c>
      <c r="G159" s="7">
        <f>SUM(G157:G158)</f>
        <v>0</v>
      </c>
      <c r="H159" s="7">
        <f>SUM(H157:H158)</f>
        <v>0</v>
      </c>
      <c r="I159" s="7"/>
      <c r="J159" s="7">
        <f>SUM(D159:H159)</f>
        <v>6859.47</v>
      </c>
      <c r="K159" s="1"/>
      <c r="L159" s="1"/>
    </row>
    <row r="160" spans="1:12">
      <c r="A160" s="1"/>
      <c r="B160" s="1"/>
      <c r="C160" s="1"/>
      <c r="D160" s="7"/>
      <c r="E160" s="7"/>
      <c r="F160" s="7"/>
      <c r="G160" s="7"/>
      <c r="H160" s="7"/>
      <c r="I160" s="7"/>
      <c r="J160" s="7"/>
      <c r="K160" s="1"/>
      <c r="L160" s="1"/>
    </row>
    <row r="161" spans="1:12">
      <c r="A161" s="1"/>
      <c r="B161" s="1"/>
      <c r="C161" s="1"/>
      <c r="D161" s="7"/>
      <c r="E161" s="7"/>
      <c r="F161" s="7"/>
      <c r="G161" s="7"/>
      <c r="H161" s="7"/>
      <c r="I161" s="7"/>
      <c r="J161" s="7"/>
      <c r="K161" s="1"/>
      <c r="L161" s="1"/>
    </row>
    <row r="162" spans="1:12">
      <c r="A162" s="1">
        <v>47</v>
      </c>
      <c r="B162" s="1" t="s">
        <v>41</v>
      </c>
      <c r="C162" s="1" t="s">
        <v>12</v>
      </c>
      <c r="D162" s="7">
        <v>8843.1299999999992</v>
      </c>
      <c r="E162" s="7">
        <v>237.84</v>
      </c>
      <c r="F162" s="7">
        <v>82.54</v>
      </c>
      <c r="G162" s="7">
        <v>83</v>
      </c>
      <c r="H162" s="7">
        <v>83.1</v>
      </c>
      <c r="I162" s="7"/>
      <c r="J162" s="7">
        <f>SUM(D162:H162)</f>
        <v>9329.61</v>
      </c>
      <c r="K162" s="1"/>
      <c r="L162" s="1"/>
    </row>
    <row r="163" spans="1:12">
      <c r="A163" s="1"/>
      <c r="B163" s="1"/>
      <c r="C163" s="1" t="s">
        <v>13</v>
      </c>
      <c r="D163" s="7"/>
      <c r="E163" s="7"/>
      <c r="F163" s="7"/>
      <c r="G163" s="7"/>
      <c r="H163" s="7">
        <v>0</v>
      </c>
      <c r="I163" s="7"/>
      <c r="J163" s="7">
        <f>SUM(D163:H163)</f>
        <v>0</v>
      </c>
      <c r="K163" s="1"/>
      <c r="L163" s="1"/>
    </row>
    <row r="164" spans="1:12">
      <c r="A164" s="1"/>
      <c r="B164" s="1"/>
      <c r="C164" s="1"/>
      <c r="D164" s="7"/>
      <c r="E164" s="7"/>
      <c r="F164" s="7"/>
      <c r="G164" s="7"/>
      <c r="H164" s="7"/>
      <c r="I164" s="7"/>
      <c r="J164" s="7"/>
      <c r="K164" s="1"/>
      <c r="L164" s="1"/>
    </row>
    <row r="165" spans="1:12">
      <c r="A165" s="1"/>
      <c r="B165" s="1"/>
      <c r="C165" s="1" t="s">
        <v>10</v>
      </c>
      <c r="D165" s="7">
        <f>SUM(D162:D163)</f>
        <v>8843.1299999999992</v>
      </c>
      <c r="E165" s="7">
        <f>SUM(E162:E163)</f>
        <v>237.84</v>
      </c>
      <c r="F165" s="7">
        <f>SUM(F162:F163)</f>
        <v>82.54</v>
      </c>
      <c r="G165" s="7">
        <f>SUM(G162:G163)</f>
        <v>83</v>
      </c>
      <c r="H165" s="7">
        <f>SUM(H162:H163)</f>
        <v>83.1</v>
      </c>
      <c r="I165" s="7"/>
      <c r="J165" s="7">
        <f>SUM(D165:H165)</f>
        <v>9329.61</v>
      </c>
      <c r="K165" s="1"/>
      <c r="L165" s="1"/>
    </row>
    <row r="166" spans="1:12">
      <c r="A166" s="1"/>
      <c r="B166" s="1"/>
      <c r="C166" s="1"/>
      <c r="D166" s="7"/>
      <c r="E166" s="7"/>
      <c r="F166" s="7"/>
      <c r="G166" s="7"/>
      <c r="H166" s="7"/>
      <c r="I166" s="7"/>
      <c r="J166" s="7"/>
      <c r="K166" s="1"/>
      <c r="L166" s="1"/>
    </row>
    <row r="167" spans="1:12">
      <c r="A167" s="1"/>
      <c r="B167" s="1"/>
      <c r="C167" s="1"/>
      <c r="D167" s="7"/>
      <c r="E167" s="7"/>
      <c r="F167" s="7"/>
      <c r="G167" s="7"/>
      <c r="H167" s="7"/>
      <c r="I167" s="7"/>
      <c r="J167" s="7"/>
      <c r="K167" s="1"/>
      <c r="L167" s="1"/>
    </row>
    <row r="168" spans="1:12">
      <c r="A168" s="1">
        <v>48</v>
      </c>
      <c r="B168" s="1" t="s">
        <v>42</v>
      </c>
      <c r="C168" s="1" t="s">
        <v>12</v>
      </c>
      <c r="D168" s="7">
        <v>18206.009999999998</v>
      </c>
      <c r="E168" s="7">
        <v>257.89999999999998</v>
      </c>
      <c r="F168" s="7">
        <v>177.32</v>
      </c>
      <c r="G168" s="7">
        <v>260.41000000000003</v>
      </c>
      <c r="H168" s="7">
        <v>188.35</v>
      </c>
      <c r="I168" s="7"/>
      <c r="J168" s="7">
        <f>SUM(D168:H168)</f>
        <v>19089.989999999998</v>
      </c>
      <c r="K168" s="1"/>
      <c r="L168" s="1"/>
    </row>
    <row r="169" spans="1:12">
      <c r="A169" s="1"/>
      <c r="B169" s="1"/>
      <c r="C169" s="1"/>
      <c r="D169" s="7"/>
      <c r="E169" s="7"/>
      <c r="F169" s="7"/>
      <c r="G169" s="7"/>
      <c r="H169" s="7"/>
      <c r="I169" s="7"/>
      <c r="J169" s="7">
        <f>SUM(D169:H169)</f>
        <v>0</v>
      </c>
      <c r="K169" s="1"/>
      <c r="L169" s="1"/>
    </row>
    <row r="170" spans="1:12">
      <c r="A170" s="1"/>
      <c r="B170" s="1"/>
      <c r="C170" s="1" t="s">
        <v>10</v>
      </c>
      <c r="D170" s="7">
        <f>SUM(D168:D169)</f>
        <v>18206.009999999998</v>
      </c>
      <c r="E170" s="7">
        <f>SUM(E168:E169)</f>
        <v>257.89999999999998</v>
      </c>
      <c r="F170" s="7">
        <f>SUM(F168:F169)</f>
        <v>177.32</v>
      </c>
      <c r="G170" s="7">
        <f>SUM(G168:G169)</f>
        <v>260.41000000000003</v>
      </c>
      <c r="H170" s="7">
        <f>SUM(H168:H169)</f>
        <v>188.35</v>
      </c>
      <c r="I170" s="7"/>
      <c r="J170" s="7">
        <f>SUM(D170:H170)</f>
        <v>19089.989999999998</v>
      </c>
      <c r="K170" s="1"/>
      <c r="L170" s="1"/>
    </row>
    <row r="171" spans="1:12">
      <c r="A171" s="1"/>
      <c r="B171" s="1"/>
      <c r="C171" s="1"/>
      <c r="D171" s="7"/>
      <c r="E171" s="7"/>
      <c r="F171" s="7"/>
      <c r="G171" s="7"/>
      <c r="H171" s="7"/>
      <c r="I171" s="7"/>
      <c r="J171" s="7"/>
      <c r="K171" s="1"/>
      <c r="L171" s="1"/>
    </row>
    <row r="172" spans="1:12">
      <c r="A172" s="1"/>
      <c r="B172" s="1"/>
      <c r="C172" s="1"/>
      <c r="D172" s="7"/>
      <c r="E172" s="7"/>
      <c r="F172" s="7"/>
      <c r="G172" s="7"/>
      <c r="H172" s="7"/>
      <c r="I172" s="7"/>
      <c r="J172" s="7"/>
      <c r="K172" s="1"/>
      <c r="L172" s="1"/>
    </row>
    <row r="173" spans="1:12">
      <c r="A173" s="1">
        <v>49</v>
      </c>
      <c r="B173" s="1" t="s">
        <v>43</v>
      </c>
      <c r="C173" s="1" t="s">
        <v>12</v>
      </c>
      <c r="D173" s="7">
        <v>18401.79</v>
      </c>
      <c r="E173" s="7">
        <v>434.6</v>
      </c>
      <c r="F173" s="7">
        <v>0</v>
      </c>
      <c r="G173" s="7">
        <v>0</v>
      </c>
      <c r="H173" s="7">
        <v>0</v>
      </c>
      <c r="I173" s="7"/>
      <c r="J173" s="7">
        <f>SUM(D173:H173)</f>
        <v>18836.39</v>
      </c>
      <c r="K173" s="1"/>
      <c r="L173" s="1"/>
    </row>
    <row r="174" spans="1:12">
      <c r="A174" s="1"/>
      <c r="B174" s="1"/>
      <c r="C174" s="1"/>
      <c r="D174" s="7"/>
      <c r="E174" s="7"/>
      <c r="F174" s="7"/>
      <c r="G174" s="7"/>
      <c r="H174" s="7"/>
      <c r="I174" s="7"/>
      <c r="J174" s="7">
        <f>SUM(D174:H174)</f>
        <v>0</v>
      </c>
      <c r="K174" s="1"/>
      <c r="L174" s="1"/>
    </row>
    <row r="175" spans="1:12">
      <c r="A175" s="1"/>
      <c r="B175" s="1"/>
      <c r="C175" s="1" t="s">
        <v>10</v>
      </c>
      <c r="D175" s="7">
        <f>SUM(D173:D174)</f>
        <v>18401.79</v>
      </c>
      <c r="E175" s="7">
        <f>SUM(E173:E174)</f>
        <v>434.6</v>
      </c>
      <c r="F175" s="7">
        <f>SUM(F173:F174)</f>
        <v>0</v>
      </c>
      <c r="G175" s="7">
        <f>SUM(G173:G174)</f>
        <v>0</v>
      </c>
      <c r="H175" s="7">
        <f>SUM(H173:H174)</f>
        <v>0</v>
      </c>
      <c r="I175" s="7"/>
      <c r="J175" s="7">
        <f>SUM(D175:H175)</f>
        <v>18836.39</v>
      </c>
      <c r="K175" s="1"/>
      <c r="L175" s="1"/>
    </row>
    <row r="176" spans="1:12">
      <c r="A176" s="1"/>
      <c r="B176" s="1"/>
      <c r="C176" s="1"/>
      <c r="D176" s="7"/>
      <c r="E176" s="7"/>
      <c r="F176" s="7"/>
      <c r="G176" s="7"/>
      <c r="H176" s="7"/>
      <c r="I176" s="7"/>
      <c r="J176" s="7"/>
      <c r="K176" s="1"/>
      <c r="L176" s="1"/>
    </row>
    <row r="177" spans="1:12">
      <c r="A177" s="1"/>
      <c r="B177" s="1"/>
      <c r="C177" s="1"/>
      <c r="D177" s="7"/>
      <c r="E177" s="7"/>
      <c r="F177" s="7"/>
      <c r="G177" s="7"/>
      <c r="H177" s="7"/>
      <c r="I177" s="7"/>
      <c r="J177" s="7"/>
      <c r="K177" s="1"/>
      <c r="L177" s="1"/>
    </row>
    <row r="178" spans="1:12">
      <c r="A178" s="1">
        <v>50</v>
      </c>
      <c r="B178" s="1" t="s">
        <v>44</v>
      </c>
      <c r="C178" s="1" t="s">
        <v>12</v>
      </c>
      <c r="D178" s="7">
        <v>6995.6</v>
      </c>
      <c r="E178" s="7">
        <v>52.07</v>
      </c>
      <c r="F178" s="7">
        <v>0</v>
      </c>
      <c r="G178" s="7">
        <v>0</v>
      </c>
      <c r="H178" s="7">
        <v>0</v>
      </c>
      <c r="I178" s="7"/>
      <c r="J178" s="7">
        <f>SUM(D178:H178)</f>
        <v>7047.67</v>
      </c>
      <c r="K178" s="1"/>
      <c r="L178" s="1"/>
    </row>
    <row r="179" spans="1:12">
      <c r="A179" s="1"/>
      <c r="B179" s="1"/>
      <c r="C179" s="1" t="s">
        <v>13</v>
      </c>
      <c r="D179" s="7">
        <v>171.68</v>
      </c>
      <c r="E179" s="7">
        <v>1.4</v>
      </c>
      <c r="F179" s="7">
        <v>0</v>
      </c>
      <c r="G179" s="7">
        <v>0</v>
      </c>
      <c r="H179" s="7">
        <v>0</v>
      </c>
      <c r="I179" s="7"/>
      <c r="J179" s="7">
        <f>SUM(D179:H179)</f>
        <v>173.08</v>
      </c>
      <c r="K179" s="1"/>
      <c r="L179" s="1"/>
    </row>
    <row r="180" spans="1:12">
      <c r="A180" s="1"/>
      <c r="B180" s="1"/>
      <c r="C180" s="1"/>
      <c r="D180" s="7"/>
      <c r="E180" s="7"/>
      <c r="F180" s="7"/>
      <c r="G180" s="7"/>
      <c r="H180" s="7"/>
      <c r="I180" s="7"/>
      <c r="J180" s="7"/>
      <c r="K180" s="1"/>
      <c r="L180" s="1"/>
    </row>
    <row r="181" spans="1:12">
      <c r="A181" s="1"/>
      <c r="B181" s="1"/>
      <c r="C181" s="1" t="s">
        <v>10</v>
      </c>
      <c r="D181" s="7">
        <f>SUM(D178:D179)</f>
        <v>7167.2800000000007</v>
      </c>
      <c r="E181" s="7">
        <f>SUM(E178:E179)</f>
        <v>53.47</v>
      </c>
      <c r="F181" s="7">
        <f>SUM(F178:F179)</f>
        <v>0</v>
      </c>
      <c r="G181" s="7">
        <f>SUM(G178:G179)</f>
        <v>0</v>
      </c>
      <c r="H181" s="7">
        <f>SUM(H178:H179)</f>
        <v>0</v>
      </c>
      <c r="I181" s="7"/>
      <c r="J181" s="7">
        <f>SUM(D181:H181)</f>
        <v>7220.7500000000009</v>
      </c>
      <c r="K181" s="1"/>
      <c r="L181" s="1"/>
    </row>
    <row r="182" spans="1:12">
      <c r="A182" s="1"/>
      <c r="B182" s="1"/>
      <c r="C182" s="1"/>
      <c r="D182" s="7"/>
      <c r="E182" s="7"/>
      <c r="F182" s="7"/>
      <c r="G182" s="7"/>
      <c r="H182" s="7"/>
      <c r="I182" s="7"/>
      <c r="J182" s="7"/>
      <c r="K182" s="1"/>
      <c r="L182" s="1"/>
    </row>
    <row r="183" spans="1:12">
      <c r="A183" s="1"/>
      <c r="B183" s="1"/>
      <c r="C183" s="1"/>
      <c r="D183" s="7"/>
      <c r="E183" s="7"/>
      <c r="F183" s="7"/>
      <c r="G183" s="7"/>
      <c r="H183" s="7"/>
      <c r="I183" s="7"/>
      <c r="J183" s="7"/>
      <c r="K183" s="1"/>
      <c r="L183" s="1"/>
    </row>
    <row r="184" spans="1:12">
      <c r="A184" s="1">
        <v>51</v>
      </c>
      <c r="B184" s="1" t="s">
        <v>45</v>
      </c>
      <c r="C184" s="1" t="s">
        <v>12</v>
      </c>
      <c r="D184" s="7">
        <v>19535.48</v>
      </c>
      <c r="E184" s="7">
        <v>443.97</v>
      </c>
      <c r="F184" s="7">
        <v>202.94</v>
      </c>
      <c r="G184" s="7">
        <v>0</v>
      </c>
      <c r="H184" s="7">
        <v>0</v>
      </c>
      <c r="I184" s="7"/>
      <c r="J184" s="7">
        <f>SUM(D184:H184)</f>
        <v>20182.39</v>
      </c>
      <c r="K184" s="1"/>
      <c r="L184" s="1"/>
    </row>
    <row r="185" spans="1:12">
      <c r="A185" s="1"/>
      <c r="B185" s="1"/>
      <c r="C185" s="1" t="s">
        <v>13</v>
      </c>
      <c r="D185" s="7">
        <v>861.81</v>
      </c>
      <c r="E185" s="7">
        <v>29.64</v>
      </c>
      <c r="F185" s="7">
        <v>13.62</v>
      </c>
      <c r="G185" s="7">
        <v>0</v>
      </c>
      <c r="H185" s="7">
        <v>0</v>
      </c>
      <c r="I185" s="7"/>
      <c r="J185" s="7">
        <f>SUM(D185:H185)</f>
        <v>905.06999999999994</v>
      </c>
      <c r="K185" s="1"/>
      <c r="L185" s="1"/>
    </row>
    <row r="186" spans="1:12">
      <c r="A186" s="1"/>
      <c r="B186" s="1"/>
      <c r="C186" s="1" t="s">
        <v>46</v>
      </c>
      <c r="D186" s="7">
        <v>314.95</v>
      </c>
      <c r="E186" s="7">
        <v>7.16</v>
      </c>
      <c r="F186" s="7">
        <v>3.36</v>
      </c>
      <c r="G186" s="7">
        <v>0</v>
      </c>
      <c r="H186" s="7">
        <v>0</v>
      </c>
      <c r="I186" s="7"/>
      <c r="J186" s="7">
        <f>SUM(D186:H186)</f>
        <v>325.47000000000003</v>
      </c>
      <c r="K186" s="1"/>
      <c r="L186" s="1"/>
    </row>
    <row r="187" spans="1:12">
      <c r="A187" s="1"/>
      <c r="B187" s="1"/>
      <c r="C187" s="1"/>
      <c r="D187" s="7"/>
      <c r="E187" s="7"/>
      <c r="F187" s="7"/>
      <c r="G187" s="7"/>
      <c r="H187" s="7"/>
      <c r="I187" s="7"/>
      <c r="J187" s="7"/>
      <c r="K187" s="1"/>
      <c r="L187" s="1"/>
    </row>
    <row r="188" spans="1:12">
      <c r="A188" s="1"/>
      <c r="B188" s="1"/>
      <c r="C188" s="1" t="s">
        <v>10</v>
      </c>
      <c r="D188" s="7">
        <f>SUM(D184:D186)</f>
        <v>20712.240000000002</v>
      </c>
      <c r="E188" s="7">
        <f>SUM(E184:E186)</f>
        <v>480.77000000000004</v>
      </c>
      <c r="F188" s="7">
        <f>SUM(F184:F186)</f>
        <v>219.92000000000002</v>
      </c>
      <c r="G188" s="7">
        <f>SUM(G184:G186)</f>
        <v>0</v>
      </c>
      <c r="H188" s="7">
        <f>SUM(H184:H186)</f>
        <v>0</v>
      </c>
      <c r="I188" s="7"/>
      <c r="J188" s="7">
        <f>SUM(D188:H188)</f>
        <v>21412.93</v>
      </c>
      <c r="K188" s="1"/>
      <c r="L188" s="1"/>
    </row>
    <row r="189" spans="1:12">
      <c r="A189" s="1"/>
      <c r="B189" s="1"/>
      <c r="C189" s="1"/>
      <c r="D189" s="7"/>
      <c r="E189" s="7"/>
      <c r="F189" s="7"/>
      <c r="G189" s="7"/>
      <c r="H189" s="7"/>
      <c r="I189" s="7"/>
      <c r="J189" s="7"/>
      <c r="K189" s="1"/>
      <c r="L189" s="1"/>
    </row>
    <row r="190" spans="1:12">
      <c r="A190" s="1"/>
      <c r="B190" s="1"/>
      <c r="C190" s="1"/>
      <c r="D190" s="7"/>
      <c r="E190" s="7"/>
      <c r="F190" s="7"/>
      <c r="G190" s="7"/>
      <c r="H190" s="7"/>
      <c r="I190" s="7"/>
      <c r="J190" s="7"/>
      <c r="K190" s="1"/>
      <c r="L190" s="1"/>
    </row>
    <row r="191" spans="1:12">
      <c r="A191" s="1">
        <v>52</v>
      </c>
      <c r="B191" s="1" t="s">
        <v>47</v>
      </c>
      <c r="C191" s="1" t="s">
        <v>12</v>
      </c>
      <c r="D191" s="7">
        <v>15361.05</v>
      </c>
      <c r="E191" s="7">
        <v>134.61000000000001</v>
      </c>
      <c r="F191" s="7">
        <v>98.96</v>
      </c>
      <c r="G191" s="7">
        <v>0</v>
      </c>
      <c r="H191" s="7">
        <v>0</v>
      </c>
      <c r="I191" s="7"/>
      <c r="J191" s="7">
        <f>SUM(D191:H191)</f>
        <v>15594.619999999999</v>
      </c>
      <c r="K191" s="1"/>
      <c r="L191" s="1"/>
    </row>
    <row r="192" spans="1:12">
      <c r="A192" s="1"/>
      <c r="B192" s="1"/>
      <c r="C192" s="1" t="s">
        <v>13</v>
      </c>
      <c r="D192" s="7">
        <v>1107.19</v>
      </c>
      <c r="E192" s="7">
        <v>10.91</v>
      </c>
      <c r="F192" s="7">
        <v>10.73</v>
      </c>
      <c r="G192" s="7">
        <v>0</v>
      </c>
      <c r="H192" s="7">
        <v>0</v>
      </c>
      <c r="I192" s="7"/>
      <c r="J192" s="7">
        <f>SUM(D192:H192)</f>
        <v>1128.8300000000002</v>
      </c>
      <c r="K192" s="1"/>
      <c r="L192" s="1"/>
    </row>
    <row r="193" spans="1:12">
      <c r="A193" s="1"/>
      <c r="B193" s="1"/>
      <c r="C193" s="1"/>
      <c r="D193" s="7"/>
      <c r="E193" s="7"/>
      <c r="F193" s="7"/>
      <c r="G193" s="7"/>
      <c r="H193" s="7"/>
      <c r="I193" s="7"/>
      <c r="J193" s="7"/>
      <c r="K193" s="1"/>
      <c r="L193" s="1"/>
    </row>
    <row r="194" spans="1:12">
      <c r="A194" s="1"/>
      <c r="B194" s="1"/>
      <c r="C194" s="1" t="s">
        <v>10</v>
      </c>
      <c r="D194" s="7">
        <f>SUM(D191:D192)</f>
        <v>16468.239999999998</v>
      </c>
      <c r="E194" s="7">
        <f>SUM(E191:E192)</f>
        <v>145.52000000000001</v>
      </c>
      <c r="F194" s="7">
        <f>SUM(F191:F192)</f>
        <v>109.69</v>
      </c>
      <c r="G194" s="7">
        <f>SUM(G191:G192)</f>
        <v>0</v>
      </c>
      <c r="H194" s="7">
        <f>SUM(H191:H192)</f>
        <v>0</v>
      </c>
      <c r="I194" s="7"/>
      <c r="J194" s="7">
        <f>SUM(D194:H194)</f>
        <v>16723.449999999997</v>
      </c>
      <c r="K194" s="1"/>
      <c r="L194" s="1"/>
    </row>
    <row r="195" spans="1:12">
      <c r="A195" s="1"/>
      <c r="B195" s="1"/>
      <c r="C195" s="1"/>
      <c r="D195" s="7"/>
      <c r="E195" s="7"/>
      <c r="F195" s="7"/>
      <c r="G195" s="7"/>
      <c r="H195" s="7"/>
      <c r="I195" s="7"/>
      <c r="J195" s="7"/>
      <c r="K195" s="1"/>
      <c r="L195" s="1"/>
    </row>
    <row r="196" spans="1:12">
      <c r="A196" s="1"/>
      <c r="B196" s="1"/>
      <c r="C196" s="1"/>
      <c r="D196" s="7"/>
      <c r="E196" s="7"/>
      <c r="F196" s="7"/>
      <c r="G196" s="7"/>
      <c r="H196" s="7"/>
      <c r="I196" s="7"/>
      <c r="J196" s="7"/>
      <c r="K196" s="1"/>
      <c r="L196" s="1"/>
    </row>
    <row r="197" spans="1:12">
      <c r="A197" s="1">
        <v>53</v>
      </c>
      <c r="B197" s="1" t="s">
        <v>48</v>
      </c>
      <c r="C197" s="1" t="s">
        <v>12</v>
      </c>
      <c r="D197" s="7">
        <v>19961.93</v>
      </c>
      <c r="E197" s="7">
        <v>411.86</v>
      </c>
      <c r="F197" s="7">
        <v>158.5</v>
      </c>
      <c r="G197" s="7">
        <v>117.68</v>
      </c>
      <c r="H197" s="7">
        <v>28.09</v>
      </c>
      <c r="I197" s="7"/>
      <c r="J197" s="7">
        <f>SUM(D197:H197)</f>
        <v>20678.060000000001</v>
      </c>
      <c r="K197" s="1"/>
      <c r="L197" s="1"/>
    </row>
    <row r="198" spans="1:12">
      <c r="A198" s="1"/>
      <c r="B198" s="1"/>
      <c r="C198" s="1" t="s">
        <v>35</v>
      </c>
      <c r="D198" s="7">
        <v>873.46</v>
      </c>
      <c r="E198" s="7">
        <v>17.14</v>
      </c>
      <c r="F198" s="7">
        <v>6.51</v>
      </c>
      <c r="G198" s="7">
        <v>4.78</v>
      </c>
      <c r="H198" s="7">
        <v>1.27</v>
      </c>
      <c r="I198" s="7"/>
      <c r="J198" s="7">
        <f>SUM(D198:H198)</f>
        <v>903.16</v>
      </c>
      <c r="K198" s="1"/>
      <c r="L198" s="1"/>
    </row>
    <row r="199" spans="1:12">
      <c r="A199" s="1"/>
      <c r="B199" s="1"/>
      <c r="C199" s="1"/>
      <c r="D199" s="7"/>
      <c r="E199" s="7"/>
      <c r="F199" s="7"/>
      <c r="G199" s="7"/>
      <c r="H199" s="7"/>
      <c r="I199" s="7"/>
      <c r="J199" s="7"/>
      <c r="K199" s="1"/>
      <c r="L199" s="1"/>
    </row>
    <row r="200" spans="1:12">
      <c r="A200" s="1"/>
      <c r="B200" s="1"/>
      <c r="C200" s="1" t="s">
        <v>10</v>
      </c>
      <c r="D200" s="7">
        <f>SUM(D197:D198)</f>
        <v>20835.39</v>
      </c>
      <c r="E200" s="7">
        <f>SUM(E197:E198)</f>
        <v>429</v>
      </c>
      <c r="F200" s="7">
        <f>SUM(F197:F198)</f>
        <v>165.01</v>
      </c>
      <c r="G200" s="7">
        <f>SUM(G197:G198)</f>
        <v>122.46000000000001</v>
      </c>
      <c r="H200" s="7">
        <f>SUM(H197:H198)</f>
        <v>29.36</v>
      </c>
      <c r="I200" s="7"/>
      <c r="J200" s="7">
        <f>SUM(D200:H200)</f>
        <v>21581.219999999998</v>
      </c>
      <c r="K200" s="1"/>
      <c r="L200" s="1"/>
    </row>
    <row r="201" spans="1:12">
      <c r="A201" s="1"/>
      <c r="B201" s="1"/>
      <c r="C201" s="1"/>
      <c r="D201" s="7"/>
      <c r="E201" s="7"/>
      <c r="F201" s="7"/>
      <c r="G201" s="7"/>
      <c r="H201" s="7"/>
      <c r="I201" s="7"/>
      <c r="J201" s="7"/>
      <c r="K201" s="1"/>
      <c r="L201" s="1"/>
    </row>
    <row r="202" spans="1:12">
      <c r="A202" s="1"/>
      <c r="B202" s="1"/>
      <c r="C202" s="1"/>
      <c r="D202" s="7"/>
      <c r="E202" s="7"/>
      <c r="F202" s="7"/>
      <c r="G202" s="7"/>
      <c r="H202" s="7"/>
      <c r="I202" s="7"/>
      <c r="J202" s="7"/>
      <c r="K202" s="1"/>
      <c r="L202" s="1"/>
    </row>
    <row r="203" spans="1:12">
      <c r="A203" s="1">
        <v>54</v>
      </c>
      <c r="B203" s="1" t="s">
        <v>49</v>
      </c>
      <c r="C203" s="1" t="s">
        <v>12</v>
      </c>
      <c r="D203" s="7">
        <v>11498.11</v>
      </c>
      <c r="E203" s="7">
        <v>497.55</v>
      </c>
      <c r="F203" s="7">
        <v>379.36</v>
      </c>
      <c r="G203" s="7">
        <v>249.94</v>
      </c>
      <c r="H203" s="7">
        <v>36.26</v>
      </c>
      <c r="I203" s="7"/>
      <c r="J203" s="7">
        <f>SUM(D203:H203)</f>
        <v>12661.220000000001</v>
      </c>
      <c r="K203" s="1"/>
      <c r="L203" s="1"/>
    </row>
    <row r="204" spans="1:12">
      <c r="A204" s="1"/>
      <c r="B204" s="1"/>
      <c r="C204" s="1"/>
      <c r="D204" s="7"/>
      <c r="E204" s="7"/>
      <c r="F204" s="7"/>
      <c r="G204" s="7"/>
      <c r="H204" s="7"/>
      <c r="I204" s="7"/>
      <c r="J204" s="7">
        <f>SUM(D204:H204)</f>
        <v>0</v>
      </c>
      <c r="K204" s="1"/>
      <c r="L204" s="1"/>
    </row>
    <row r="205" spans="1:12">
      <c r="A205" s="1"/>
      <c r="B205" s="1"/>
      <c r="C205" s="1" t="s">
        <v>10</v>
      </c>
      <c r="D205" s="7">
        <f>SUM(D203:D204)</f>
        <v>11498.11</v>
      </c>
      <c r="E205" s="7">
        <f>SUM(E203:E204)</f>
        <v>497.55</v>
      </c>
      <c r="F205" s="7">
        <f>SUM(F203:F204)</f>
        <v>379.36</v>
      </c>
      <c r="G205" s="7">
        <f>SUM(G203:G204)</f>
        <v>249.94</v>
      </c>
      <c r="H205" s="7">
        <f>SUM(H203:H204)</f>
        <v>36.26</v>
      </c>
      <c r="I205" s="7"/>
      <c r="J205" s="7">
        <f>SUM(D205:H205)</f>
        <v>12661.220000000001</v>
      </c>
      <c r="K205" s="1"/>
      <c r="L205" s="1"/>
    </row>
    <row r="206" spans="1:12">
      <c r="A206" s="1"/>
      <c r="B206" s="1"/>
      <c r="C206" s="1"/>
      <c r="D206" s="7"/>
      <c r="E206" s="7"/>
      <c r="F206" s="7"/>
      <c r="G206" s="7"/>
      <c r="H206" s="7"/>
      <c r="I206" s="7"/>
      <c r="J206" s="7"/>
      <c r="K206" s="1"/>
      <c r="L206" s="1"/>
    </row>
    <row r="207" spans="1:12">
      <c r="A207" s="1"/>
      <c r="B207" s="1"/>
      <c r="C207" s="1"/>
      <c r="D207" s="7"/>
      <c r="E207" s="7"/>
      <c r="F207" s="7"/>
      <c r="G207" s="7"/>
      <c r="H207" s="7"/>
      <c r="I207" s="7"/>
      <c r="J207" s="7"/>
      <c r="K207" s="1"/>
      <c r="L207" s="1"/>
    </row>
    <row r="208" spans="1:12">
      <c r="A208" s="1">
        <v>55</v>
      </c>
      <c r="B208" s="1" t="s">
        <v>50</v>
      </c>
      <c r="C208" s="1" t="s">
        <v>12</v>
      </c>
      <c r="D208" s="7">
        <v>14930.63</v>
      </c>
      <c r="E208" s="7">
        <v>280.67</v>
      </c>
      <c r="F208" s="7">
        <v>31.76</v>
      </c>
      <c r="G208" s="7">
        <v>32.85</v>
      </c>
      <c r="H208" s="7">
        <v>1.72</v>
      </c>
      <c r="I208" s="7"/>
      <c r="J208" s="7">
        <f>SUM(D208:H208)</f>
        <v>15277.63</v>
      </c>
      <c r="K208" s="1"/>
      <c r="L208" s="1"/>
    </row>
    <row r="209" spans="1:12">
      <c r="A209" s="1"/>
      <c r="B209" s="1"/>
      <c r="C209" s="1" t="s">
        <v>13</v>
      </c>
      <c r="D209" s="7">
        <v>373.16</v>
      </c>
      <c r="E209" s="7">
        <v>7.11</v>
      </c>
      <c r="F209" s="7">
        <v>0.55000000000000004</v>
      </c>
      <c r="G209" s="7">
        <v>0.85</v>
      </c>
      <c r="H209" s="7">
        <v>0.04</v>
      </c>
      <c r="I209" s="7"/>
      <c r="J209" s="7">
        <f>SUM(D209:H209)</f>
        <v>381.71000000000009</v>
      </c>
      <c r="K209" s="1"/>
      <c r="L209" s="1"/>
    </row>
    <row r="210" spans="1:12">
      <c r="A210" s="1"/>
      <c r="B210" s="1"/>
      <c r="C210" s="1"/>
      <c r="D210" s="7"/>
      <c r="E210" s="7"/>
      <c r="F210" s="7"/>
      <c r="G210" s="7"/>
      <c r="H210" s="7"/>
      <c r="I210" s="7"/>
      <c r="J210" s="7"/>
      <c r="K210" s="1"/>
      <c r="L210" s="1"/>
    </row>
    <row r="211" spans="1:12">
      <c r="A211" s="1"/>
      <c r="B211" s="1"/>
      <c r="C211" s="1" t="s">
        <v>10</v>
      </c>
      <c r="D211" s="7">
        <f>SUM(D208:D209)</f>
        <v>15303.789999999999</v>
      </c>
      <c r="E211" s="7">
        <f>SUM(E208:E209)</f>
        <v>287.78000000000003</v>
      </c>
      <c r="F211" s="7">
        <f>SUM(F208:F209)</f>
        <v>32.31</v>
      </c>
      <c r="G211" s="7">
        <f>SUM(G208:G209)</f>
        <v>33.700000000000003</v>
      </c>
      <c r="H211" s="7">
        <f>SUM(H208:H209)</f>
        <v>1.76</v>
      </c>
      <c r="I211" s="7"/>
      <c r="J211" s="7">
        <f>SUM(D211:H211)</f>
        <v>15659.34</v>
      </c>
      <c r="K211" s="1"/>
      <c r="L211" s="1"/>
    </row>
    <row r="212" spans="1:12">
      <c r="A212" s="1"/>
      <c r="B212" s="1"/>
      <c r="C212" s="1"/>
      <c r="D212" s="7"/>
      <c r="E212" s="7"/>
      <c r="F212" s="7"/>
      <c r="G212" s="7"/>
      <c r="H212" s="7"/>
      <c r="I212" s="7"/>
      <c r="J212" s="7"/>
      <c r="K212" s="1"/>
      <c r="L212" s="1"/>
    </row>
    <row r="213" spans="1:12">
      <c r="A213" s="1"/>
      <c r="B213" s="1"/>
      <c r="C213" s="1"/>
      <c r="D213" s="7"/>
      <c r="E213" s="7"/>
      <c r="F213" s="7"/>
      <c r="G213" s="7"/>
      <c r="H213" s="7"/>
      <c r="I213" s="7"/>
      <c r="J213" s="7"/>
      <c r="K213" s="1"/>
      <c r="L213" s="1"/>
    </row>
    <row r="214" spans="1:12">
      <c r="A214" s="1">
        <v>56</v>
      </c>
      <c r="B214" s="1" t="s">
        <v>51</v>
      </c>
      <c r="C214" s="1" t="s">
        <v>12</v>
      </c>
      <c r="D214" s="7">
        <v>9878.76</v>
      </c>
      <c r="E214" s="7">
        <v>185.89</v>
      </c>
      <c r="F214" s="7">
        <v>63.59</v>
      </c>
      <c r="G214" s="7">
        <v>61.94</v>
      </c>
      <c r="H214" s="7">
        <v>37.82</v>
      </c>
      <c r="I214" s="7"/>
      <c r="J214" s="7">
        <f>SUM(D214:H214)</f>
        <v>10228</v>
      </c>
      <c r="K214" s="1"/>
      <c r="L214" s="1"/>
    </row>
    <row r="215" spans="1:12">
      <c r="A215" s="1"/>
      <c r="B215" s="1"/>
      <c r="C215" s="1" t="s">
        <v>13</v>
      </c>
      <c r="D215" s="7">
        <v>178.5</v>
      </c>
      <c r="E215" s="7">
        <v>3.44</v>
      </c>
      <c r="F215" s="7">
        <v>1.1000000000000001</v>
      </c>
      <c r="G215" s="7">
        <v>1.1100000000000001</v>
      </c>
      <c r="H215" s="7">
        <v>0.74</v>
      </c>
      <c r="I215" s="7"/>
      <c r="J215" s="7">
        <f>SUM(D215:H215)</f>
        <v>184.89000000000001</v>
      </c>
      <c r="K215" s="1"/>
      <c r="L215" s="1"/>
    </row>
    <row r="216" spans="1:12">
      <c r="A216" s="1"/>
      <c r="B216" s="1"/>
      <c r="C216" s="1"/>
      <c r="D216" s="7"/>
      <c r="E216" s="7"/>
      <c r="F216" s="7"/>
      <c r="G216" s="7"/>
      <c r="H216" s="7"/>
      <c r="I216" s="7"/>
      <c r="J216" s="7"/>
      <c r="K216" s="1"/>
      <c r="L216" s="1"/>
    </row>
    <row r="217" spans="1:12">
      <c r="A217" s="1"/>
      <c r="B217" s="1"/>
      <c r="C217" s="1" t="s">
        <v>10</v>
      </c>
      <c r="D217" s="7">
        <f>SUM(D214:D215)</f>
        <v>10057.26</v>
      </c>
      <c r="E217" s="7">
        <f>SUM(E214:E215)</f>
        <v>189.32999999999998</v>
      </c>
      <c r="F217" s="7">
        <f>SUM(F214:F215)</f>
        <v>64.69</v>
      </c>
      <c r="G217" s="7">
        <f>SUM(G214:G215)</f>
        <v>63.05</v>
      </c>
      <c r="H217" s="7">
        <f>SUM(H214:H215)</f>
        <v>38.56</v>
      </c>
      <c r="I217" s="7"/>
      <c r="J217" s="7">
        <f>SUM(D217:H217)</f>
        <v>10412.89</v>
      </c>
      <c r="K217" s="1"/>
      <c r="L217" s="1"/>
    </row>
    <row r="218" spans="1:12">
      <c r="A218" s="1"/>
      <c r="B218" s="1"/>
      <c r="C218" s="1"/>
      <c r="D218" s="7"/>
      <c r="E218" s="7"/>
      <c r="F218" s="7"/>
      <c r="G218" s="7"/>
      <c r="H218" s="7"/>
      <c r="I218" s="7"/>
      <c r="J218" s="7"/>
      <c r="K218" s="1"/>
      <c r="L218" s="1"/>
    </row>
    <row r="219" spans="1:12">
      <c r="A219" s="1"/>
      <c r="B219" s="1"/>
      <c r="C219" s="1"/>
      <c r="D219" s="7"/>
      <c r="E219" s="7"/>
      <c r="F219" s="7"/>
      <c r="G219" s="7"/>
      <c r="H219" s="7"/>
      <c r="I219" s="7"/>
      <c r="J219" s="7"/>
      <c r="K219" s="1"/>
      <c r="L219" s="1"/>
    </row>
    <row r="220" spans="1:12">
      <c r="A220" s="1">
        <v>57</v>
      </c>
      <c r="B220" s="1" t="s">
        <v>52</v>
      </c>
      <c r="C220" s="1" t="s">
        <v>12</v>
      </c>
      <c r="D220" s="7">
        <v>22504.45</v>
      </c>
      <c r="E220" s="7">
        <v>227.54</v>
      </c>
      <c r="F220" s="7">
        <v>148.83000000000001</v>
      </c>
      <c r="G220" s="7">
        <v>6.07</v>
      </c>
      <c r="H220" s="7">
        <v>4.4800000000000004</v>
      </c>
      <c r="I220" s="7"/>
      <c r="J220" s="7">
        <f>SUM(D220:H220)</f>
        <v>22891.370000000003</v>
      </c>
      <c r="K220" s="1"/>
      <c r="L220" s="1"/>
    </row>
    <row r="221" spans="1:12">
      <c r="A221" s="1"/>
      <c r="B221" s="1"/>
      <c r="C221" s="1" t="s">
        <v>13</v>
      </c>
      <c r="D221" s="7">
        <v>431.12</v>
      </c>
      <c r="E221" s="7">
        <v>4.7</v>
      </c>
      <c r="F221" s="7">
        <v>2.91</v>
      </c>
      <c r="G221" s="7">
        <v>0.3</v>
      </c>
      <c r="H221" s="7">
        <v>0.11</v>
      </c>
      <c r="I221" s="7"/>
      <c r="J221" s="7">
        <f>SUM(D221:H221)</f>
        <v>439.14000000000004</v>
      </c>
      <c r="K221" s="1"/>
      <c r="L221" s="1"/>
    </row>
    <row r="222" spans="1:12">
      <c r="A222" s="1"/>
      <c r="B222" s="1"/>
      <c r="C222" s="1"/>
      <c r="D222" s="7"/>
      <c r="E222" s="7"/>
      <c r="F222" s="7"/>
      <c r="G222" s="7"/>
      <c r="H222" s="7"/>
      <c r="I222" s="7"/>
      <c r="J222" s="7"/>
      <c r="K222" s="1"/>
      <c r="L222" s="1"/>
    </row>
    <row r="223" spans="1:12">
      <c r="A223" s="1"/>
      <c r="B223" s="1"/>
      <c r="C223" s="1" t="s">
        <v>10</v>
      </c>
      <c r="D223" s="7">
        <f>SUM(D220:D221)</f>
        <v>22935.57</v>
      </c>
      <c r="E223" s="7">
        <f>SUM(E220:E221)</f>
        <v>232.23999999999998</v>
      </c>
      <c r="F223" s="7">
        <f>SUM(F220:F221)</f>
        <v>151.74</v>
      </c>
      <c r="G223" s="7">
        <f>SUM(G220:G221)</f>
        <v>6.37</v>
      </c>
      <c r="H223" s="7">
        <f>SUM(H220:H221)</f>
        <v>4.5900000000000007</v>
      </c>
      <c r="I223" s="7"/>
      <c r="J223" s="7">
        <f>SUM(D223:H223)</f>
        <v>23330.510000000002</v>
      </c>
      <c r="K223" s="1"/>
      <c r="L223" s="1"/>
    </row>
    <row r="224" spans="1:12">
      <c r="A224" s="1"/>
      <c r="B224" s="1"/>
      <c r="C224" s="1"/>
      <c r="D224" s="7"/>
      <c r="E224" s="7"/>
      <c r="F224" s="7"/>
      <c r="G224" s="7"/>
      <c r="H224" s="7"/>
      <c r="I224" s="7"/>
      <c r="J224" s="7"/>
      <c r="K224" s="1"/>
      <c r="L224" s="1"/>
    </row>
    <row r="225" spans="1:12">
      <c r="A225" s="1"/>
      <c r="B225" s="1"/>
      <c r="C225" s="1"/>
      <c r="D225" s="7"/>
      <c r="E225" s="7"/>
      <c r="F225" s="7"/>
      <c r="G225" s="7"/>
      <c r="H225" s="7"/>
      <c r="I225" s="7"/>
      <c r="J225" s="7"/>
      <c r="K225" s="1"/>
      <c r="L225" s="1"/>
    </row>
    <row r="226" spans="1:12">
      <c r="A226" s="1">
        <v>58</v>
      </c>
      <c r="B226" s="1" t="s">
        <v>53</v>
      </c>
      <c r="C226" s="1" t="s">
        <v>12</v>
      </c>
      <c r="D226" s="7">
        <v>14898.95</v>
      </c>
      <c r="E226" s="7">
        <v>95.2</v>
      </c>
      <c r="F226" s="7">
        <v>93.28</v>
      </c>
      <c r="G226" s="7">
        <v>0</v>
      </c>
      <c r="H226" s="7">
        <v>0</v>
      </c>
      <c r="I226" s="7"/>
      <c r="J226" s="7">
        <f>SUM(D226:H226)</f>
        <v>15087.430000000002</v>
      </c>
      <c r="K226" s="1"/>
      <c r="L226" s="1"/>
    </row>
    <row r="227" spans="1:12">
      <c r="A227" s="1"/>
      <c r="B227" s="1"/>
      <c r="C227" s="1" t="s">
        <v>13</v>
      </c>
      <c r="D227" s="7">
        <v>321.06</v>
      </c>
      <c r="E227" s="7">
        <v>2.15</v>
      </c>
      <c r="F227" s="7">
        <v>1.91</v>
      </c>
      <c r="G227" s="7">
        <v>0</v>
      </c>
      <c r="H227" s="7">
        <v>0</v>
      </c>
      <c r="I227" s="7"/>
      <c r="J227" s="7">
        <f>SUM(D227:H227)</f>
        <v>325.12</v>
      </c>
      <c r="K227" s="1"/>
      <c r="L227" s="1"/>
    </row>
    <row r="228" spans="1:12">
      <c r="A228" s="1"/>
      <c r="B228" s="1"/>
      <c r="C228" s="1"/>
      <c r="D228" s="7"/>
      <c r="E228" s="7"/>
      <c r="F228" s="7"/>
      <c r="G228" s="7"/>
      <c r="H228" s="7"/>
      <c r="I228" s="7"/>
      <c r="J228" s="7"/>
      <c r="K228" s="1"/>
      <c r="L228" s="1"/>
    </row>
    <row r="229" spans="1:12">
      <c r="A229" s="1"/>
      <c r="B229" s="1"/>
      <c r="C229" s="1" t="s">
        <v>10</v>
      </c>
      <c r="D229" s="7">
        <f>SUM(D226:D227)</f>
        <v>15220.01</v>
      </c>
      <c r="E229" s="7">
        <f>SUM(E226:E227)</f>
        <v>97.350000000000009</v>
      </c>
      <c r="F229" s="7">
        <f>SUM(F226:F227)</f>
        <v>95.19</v>
      </c>
      <c r="G229" s="7">
        <f>SUM(G226:G227)</f>
        <v>0</v>
      </c>
      <c r="H229" s="7">
        <f>SUM(H226:H227)</f>
        <v>0</v>
      </c>
      <c r="I229" s="7"/>
      <c r="J229" s="7">
        <f>SUM(D229:H229)</f>
        <v>15412.550000000001</v>
      </c>
      <c r="K229" s="1"/>
      <c r="L229" s="1"/>
    </row>
    <row r="230" spans="1:12">
      <c r="A230" s="1"/>
      <c r="B230" s="1"/>
      <c r="C230" s="1"/>
      <c r="D230" s="7"/>
      <c r="E230" s="7"/>
      <c r="F230" s="7"/>
      <c r="G230" s="7"/>
      <c r="H230" s="7"/>
      <c r="I230" s="7"/>
      <c r="J230" s="7"/>
      <c r="K230" s="1"/>
      <c r="L230" s="1"/>
    </row>
    <row r="231" spans="1:12">
      <c r="A231" s="1"/>
      <c r="B231" s="1"/>
      <c r="C231" s="1"/>
      <c r="D231" s="7"/>
      <c r="E231" s="7"/>
      <c r="F231" s="7"/>
      <c r="G231" s="7"/>
      <c r="H231" s="7"/>
      <c r="I231" s="7"/>
      <c r="J231" s="7"/>
      <c r="K231" s="1"/>
      <c r="L231" s="1"/>
    </row>
    <row r="232" spans="1:12">
      <c r="A232" s="1">
        <v>59</v>
      </c>
      <c r="B232" s="1" t="s">
        <v>54</v>
      </c>
      <c r="C232" s="1" t="s">
        <v>12</v>
      </c>
      <c r="D232" s="7">
        <v>14811.95</v>
      </c>
      <c r="E232" s="7">
        <v>274.04000000000002</v>
      </c>
      <c r="F232" s="7">
        <v>18.5</v>
      </c>
      <c r="G232" s="7">
        <v>53.31</v>
      </c>
      <c r="H232" s="7">
        <v>51.59</v>
      </c>
      <c r="I232" s="7"/>
      <c r="J232" s="7">
        <f>SUM(D232:H232)</f>
        <v>15209.390000000001</v>
      </c>
      <c r="K232" s="1"/>
      <c r="L232" s="1"/>
    </row>
    <row r="233" spans="1:12">
      <c r="A233" s="1"/>
      <c r="B233" s="1"/>
      <c r="C233" s="1" t="s">
        <v>35</v>
      </c>
      <c r="D233" s="7">
        <v>842.9</v>
      </c>
      <c r="E233" s="7">
        <v>15.82</v>
      </c>
      <c r="F233" s="7">
        <v>1.1000000000000001</v>
      </c>
      <c r="G233" s="7">
        <v>3.5</v>
      </c>
      <c r="H233" s="7">
        <v>3.21</v>
      </c>
      <c r="I233" s="7"/>
      <c r="J233" s="7">
        <f>SUM(D233:H233)</f>
        <v>866.53000000000009</v>
      </c>
      <c r="K233" s="1"/>
      <c r="L233" s="1"/>
    </row>
    <row r="234" spans="1:12">
      <c r="A234" s="1"/>
      <c r="B234" s="1"/>
      <c r="C234" s="1"/>
      <c r="D234" s="7"/>
      <c r="E234" s="7"/>
      <c r="F234" s="7"/>
      <c r="G234" s="7"/>
      <c r="H234" s="7"/>
      <c r="I234" s="7"/>
      <c r="J234" s="7"/>
      <c r="K234" s="1"/>
      <c r="L234" s="1"/>
    </row>
    <row r="235" spans="1:12">
      <c r="A235" s="1"/>
      <c r="B235" s="1"/>
      <c r="C235" s="1" t="s">
        <v>10</v>
      </c>
      <c r="D235" s="7">
        <f>SUM(D232:D233)</f>
        <v>15654.85</v>
      </c>
      <c r="E235" s="7">
        <f>SUM(E232:E233)</f>
        <v>289.86</v>
      </c>
      <c r="F235" s="7">
        <f>SUM(F232:F233)</f>
        <v>19.600000000000001</v>
      </c>
      <c r="G235" s="7">
        <f>SUM(G232:G233)</f>
        <v>56.81</v>
      </c>
      <c r="H235" s="7">
        <f>SUM(H232:H233)</f>
        <v>54.800000000000004</v>
      </c>
      <c r="I235" s="7"/>
      <c r="J235" s="7">
        <f>SUM(D235:H235)</f>
        <v>16075.92</v>
      </c>
      <c r="K235" s="1"/>
      <c r="L235" s="1"/>
    </row>
    <row r="236" spans="1:12">
      <c r="A236" s="1"/>
      <c r="B236" s="1"/>
      <c r="C236" s="1"/>
      <c r="D236" s="7"/>
      <c r="E236" s="7"/>
      <c r="F236" s="7"/>
      <c r="G236" s="7"/>
      <c r="H236" s="7"/>
      <c r="I236" s="7"/>
      <c r="J236" s="7"/>
      <c r="K236" s="1"/>
      <c r="L236" s="1"/>
    </row>
    <row r="237" spans="1:12">
      <c r="A237" s="1"/>
      <c r="B237" s="1"/>
      <c r="C237" s="1"/>
      <c r="D237" s="7"/>
      <c r="E237" s="7"/>
      <c r="F237" s="7"/>
      <c r="G237" s="7"/>
      <c r="H237" s="7"/>
      <c r="I237" s="7"/>
      <c r="J237" s="7"/>
      <c r="K237" s="1"/>
      <c r="L237" s="1"/>
    </row>
    <row r="238" spans="1:12">
      <c r="A238" s="1">
        <v>60</v>
      </c>
      <c r="B238" s="1" t="s">
        <v>55</v>
      </c>
      <c r="C238" s="1" t="s">
        <v>12</v>
      </c>
      <c r="D238" s="7">
        <v>33874.19</v>
      </c>
      <c r="E238" s="7">
        <v>647.4</v>
      </c>
      <c r="F238" s="7">
        <v>366.63</v>
      </c>
      <c r="G238" s="7">
        <v>200.77</v>
      </c>
      <c r="H238" s="7">
        <v>113.07</v>
      </c>
      <c r="I238" s="7"/>
      <c r="J238" s="7">
        <f>SUM(D238:H238)</f>
        <v>35202.06</v>
      </c>
      <c r="K238" s="1"/>
      <c r="L238" s="1"/>
    </row>
    <row r="239" spans="1:12">
      <c r="A239" s="1"/>
      <c r="B239" s="1"/>
      <c r="C239" s="1"/>
      <c r="D239" s="7"/>
      <c r="E239" s="7"/>
      <c r="F239" s="7"/>
      <c r="G239" s="7"/>
      <c r="H239" s="7"/>
      <c r="I239" s="7"/>
      <c r="J239" s="7">
        <f>SUM(D239:H239)</f>
        <v>0</v>
      </c>
      <c r="K239" s="1"/>
      <c r="L239" s="1"/>
    </row>
    <row r="240" spans="1:12">
      <c r="A240" s="1"/>
      <c r="B240" s="1"/>
      <c r="C240" s="1" t="s">
        <v>10</v>
      </c>
      <c r="D240" s="7">
        <f>SUM(D238:D239)</f>
        <v>33874.19</v>
      </c>
      <c r="E240" s="7">
        <f>SUM(E238:E239)</f>
        <v>647.4</v>
      </c>
      <c r="F240" s="7">
        <f>SUM(F238:F239)</f>
        <v>366.63</v>
      </c>
      <c r="G240" s="7">
        <f>SUM(G238:G239)</f>
        <v>200.77</v>
      </c>
      <c r="H240" s="7">
        <f>SUM(H238:H239)</f>
        <v>113.07</v>
      </c>
      <c r="I240" s="7"/>
      <c r="J240" s="7">
        <f>SUM(D240:H240)</f>
        <v>35202.06</v>
      </c>
      <c r="K240" s="1"/>
      <c r="L240" s="1"/>
    </row>
    <row r="241" spans="1:12">
      <c r="A241" s="1"/>
      <c r="B241" s="1"/>
      <c r="C241" s="1"/>
      <c r="D241" s="7"/>
      <c r="E241" s="7"/>
      <c r="F241" s="7"/>
      <c r="G241" s="7"/>
      <c r="H241" s="7"/>
      <c r="I241" s="7"/>
      <c r="J241" s="7"/>
      <c r="K241" s="1"/>
      <c r="L241" s="1"/>
    </row>
    <row r="242" spans="1:12">
      <c r="A242" s="1"/>
      <c r="B242" s="1"/>
      <c r="C242" s="1"/>
      <c r="D242" s="7"/>
      <c r="E242" s="7"/>
      <c r="F242" s="7"/>
      <c r="G242" s="7"/>
      <c r="H242" s="7"/>
      <c r="I242" s="7"/>
      <c r="J242" s="7"/>
      <c r="K242" s="1"/>
      <c r="L242" s="1"/>
    </row>
    <row r="243" spans="1:12">
      <c r="A243" s="1">
        <v>61</v>
      </c>
      <c r="B243" s="1" t="s">
        <v>56</v>
      </c>
      <c r="C243" s="1" t="s">
        <v>12</v>
      </c>
      <c r="D243" s="7">
        <v>13648.9</v>
      </c>
      <c r="E243" s="7">
        <v>86.48</v>
      </c>
      <c r="F243" s="7">
        <v>71.7</v>
      </c>
      <c r="G243" s="7">
        <v>39.11</v>
      </c>
      <c r="H243" s="7">
        <v>36.770000000000003</v>
      </c>
      <c r="I243" s="7"/>
      <c r="J243" s="7">
        <f>SUM(D243:H243)</f>
        <v>13882.960000000001</v>
      </c>
      <c r="K243" s="1"/>
      <c r="L243" s="1"/>
    </row>
    <row r="244" spans="1:12">
      <c r="A244" s="1"/>
      <c r="B244" s="1"/>
      <c r="C244" s="1" t="s">
        <v>13</v>
      </c>
      <c r="D244" s="7">
        <v>211.9</v>
      </c>
      <c r="E244" s="7">
        <v>1.46</v>
      </c>
      <c r="F244" s="7">
        <v>0.97</v>
      </c>
      <c r="G244" s="7">
        <v>0.53</v>
      </c>
      <c r="H244" s="7">
        <v>0.55000000000000004</v>
      </c>
      <c r="I244" s="7"/>
      <c r="J244" s="7">
        <f>SUM(D244:H244)</f>
        <v>215.41000000000003</v>
      </c>
      <c r="K244" s="1"/>
      <c r="L244" s="1"/>
    </row>
    <row r="245" spans="1:12">
      <c r="A245" s="1"/>
      <c r="B245" s="1"/>
      <c r="C245" s="1"/>
      <c r="D245" s="7"/>
      <c r="E245" s="7"/>
      <c r="F245" s="7"/>
      <c r="G245" s="7"/>
      <c r="H245" s="7"/>
      <c r="I245" s="7"/>
      <c r="J245" s="7"/>
      <c r="K245" s="1"/>
      <c r="L245" s="1"/>
    </row>
    <row r="246" spans="1:12">
      <c r="A246" s="1"/>
      <c r="B246" s="1"/>
      <c r="C246" s="1" t="s">
        <v>10</v>
      </c>
      <c r="D246" s="7">
        <f>SUM(D243:D244)</f>
        <v>13860.8</v>
      </c>
      <c r="E246" s="7">
        <f>SUM(E243:E244)</f>
        <v>87.94</v>
      </c>
      <c r="F246" s="7">
        <f>SUM(F243:F244)</f>
        <v>72.67</v>
      </c>
      <c r="G246" s="7">
        <f>SUM(G243:G244)</f>
        <v>39.64</v>
      </c>
      <c r="H246" s="7">
        <f>SUM(H243:H244)</f>
        <v>37.32</v>
      </c>
      <c r="I246" s="7"/>
      <c r="J246" s="7">
        <f>SUM(D246:H246)</f>
        <v>14098.369999999999</v>
      </c>
      <c r="K246" s="1"/>
      <c r="L246" s="1"/>
    </row>
    <row r="247" spans="1:12">
      <c r="A247" s="1"/>
      <c r="B247" s="1"/>
      <c r="C247" s="1"/>
      <c r="D247" s="7"/>
      <c r="E247" s="7"/>
      <c r="F247" s="7"/>
      <c r="G247" s="7"/>
      <c r="H247" s="7"/>
      <c r="I247" s="7"/>
      <c r="J247" s="7"/>
      <c r="K247" s="1"/>
      <c r="L247" s="1"/>
    </row>
    <row r="248" spans="1:12">
      <c r="A248" s="1"/>
      <c r="B248" s="1"/>
      <c r="C248" s="1"/>
      <c r="D248" s="7"/>
      <c r="E248" s="7"/>
      <c r="F248" s="7"/>
      <c r="G248" s="7"/>
      <c r="H248" s="7"/>
      <c r="I248" s="7"/>
      <c r="J248" s="7"/>
      <c r="K248" s="1"/>
      <c r="L248" s="1"/>
    </row>
    <row r="249" spans="1:12">
      <c r="A249" s="1">
        <v>62</v>
      </c>
      <c r="B249" s="1" t="s">
        <v>57</v>
      </c>
      <c r="C249" s="1" t="s">
        <v>12</v>
      </c>
      <c r="D249" s="7">
        <v>7916.61</v>
      </c>
      <c r="E249" s="7">
        <v>418.11</v>
      </c>
      <c r="F249" s="7">
        <v>168.12</v>
      </c>
      <c r="G249" s="7">
        <v>80.180000000000007</v>
      </c>
      <c r="H249" s="7">
        <v>0</v>
      </c>
      <c r="I249" s="7"/>
      <c r="J249" s="7">
        <f>SUM(D249:H249)</f>
        <v>8583.02</v>
      </c>
      <c r="K249" s="1"/>
      <c r="L249" s="1"/>
    </row>
    <row r="250" spans="1:12">
      <c r="A250" s="1"/>
      <c r="B250" s="1"/>
      <c r="C250" s="1" t="s">
        <v>13</v>
      </c>
      <c r="D250" s="7">
        <v>180.17</v>
      </c>
      <c r="E250" s="7">
        <v>9.5</v>
      </c>
      <c r="F250" s="7">
        <v>3.79</v>
      </c>
      <c r="G250" s="7">
        <v>1.82</v>
      </c>
      <c r="H250" s="7">
        <v>0</v>
      </c>
      <c r="I250" s="7"/>
      <c r="J250" s="7">
        <f>SUM(D250:H250)</f>
        <v>195.27999999999997</v>
      </c>
      <c r="K250" s="1"/>
      <c r="L250" s="1"/>
    </row>
    <row r="251" spans="1:12">
      <c r="A251" s="1"/>
      <c r="B251" s="1"/>
      <c r="C251" s="1"/>
      <c r="D251" s="7"/>
      <c r="E251" s="7"/>
      <c r="F251" s="7"/>
      <c r="G251" s="7"/>
      <c r="H251" s="7"/>
      <c r="I251" s="7"/>
      <c r="J251" s="7"/>
      <c r="K251" s="1"/>
      <c r="L251" s="1"/>
    </row>
    <row r="252" spans="1:12">
      <c r="A252" s="1"/>
      <c r="B252" s="1"/>
      <c r="C252" s="1" t="s">
        <v>10</v>
      </c>
      <c r="D252" s="7">
        <f>SUM(D249:D250)</f>
        <v>8096.78</v>
      </c>
      <c r="E252" s="7">
        <f>SUM(E249:E250)</f>
        <v>427.61</v>
      </c>
      <c r="F252" s="7">
        <f>SUM(F249:F250)</f>
        <v>171.91</v>
      </c>
      <c r="G252" s="7">
        <f>SUM(G249:G250)</f>
        <v>82</v>
      </c>
      <c r="H252" s="7">
        <f>SUM(H249:H250)</f>
        <v>0</v>
      </c>
      <c r="I252" s="7"/>
      <c r="J252" s="7">
        <f>SUM(D252:H252)</f>
        <v>8778.2999999999993</v>
      </c>
      <c r="K252" s="1"/>
      <c r="L252" s="1"/>
    </row>
    <row r="253" spans="1:12">
      <c r="A253" s="1"/>
      <c r="B253" s="1"/>
      <c r="C253" s="1"/>
      <c r="D253" s="7"/>
      <c r="E253" s="7"/>
      <c r="F253" s="7"/>
      <c r="G253" s="7"/>
      <c r="H253" s="7"/>
      <c r="I253" s="7"/>
      <c r="J253" s="7"/>
      <c r="K253" s="1"/>
      <c r="L253" s="1"/>
    </row>
    <row r="254" spans="1:12">
      <c r="A254" s="1"/>
      <c r="B254" s="1"/>
      <c r="C254" s="1"/>
      <c r="D254" s="7"/>
      <c r="E254" s="7"/>
      <c r="F254" s="7"/>
      <c r="G254" s="7"/>
      <c r="H254" s="7"/>
      <c r="I254" s="7"/>
      <c r="J254" s="7"/>
      <c r="K254" s="1"/>
      <c r="L254" s="1"/>
    </row>
    <row r="255" spans="1:12">
      <c r="A255" s="1">
        <v>63</v>
      </c>
      <c r="B255" s="1" t="s">
        <v>58</v>
      </c>
      <c r="C255" s="1" t="s">
        <v>12</v>
      </c>
      <c r="D255" s="7">
        <v>14739.99</v>
      </c>
      <c r="E255" s="7">
        <v>431.23</v>
      </c>
      <c r="F255" s="7">
        <v>385.07</v>
      </c>
      <c r="G255" s="7">
        <v>16.78</v>
      </c>
      <c r="H255" s="7">
        <v>16.57</v>
      </c>
      <c r="I255" s="7"/>
      <c r="J255" s="7">
        <f>SUM(D255:H255)</f>
        <v>15589.64</v>
      </c>
      <c r="K255" s="1"/>
      <c r="L255" s="1"/>
    </row>
    <row r="256" spans="1:12">
      <c r="A256" s="1"/>
      <c r="B256" s="1"/>
      <c r="C256" s="1" t="s">
        <v>13</v>
      </c>
      <c r="D256" s="7">
        <v>1020.7</v>
      </c>
      <c r="E256" s="7">
        <v>29.43</v>
      </c>
      <c r="F256" s="7">
        <v>17.41</v>
      </c>
      <c r="G256" s="7">
        <v>0.83</v>
      </c>
      <c r="H256" s="7">
        <v>1.83</v>
      </c>
      <c r="I256" s="7"/>
      <c r="J256" s="7">
        <f>SUM(D256:H256)</f>
        <v>1070.2</v>
      </c>
      <c r="K256" s="1"/>
      <c r="L256" s="1"/>
    </row>
    <row r="257" spans="1:12">
      <c r="A257" s="1"/>
      <c r="B257" s="1"/>
      <c r="C257" s="1"/>
      <c r="D257" s="7"/>
      <c r="E257" s="7"/>
      <c r="F257" s="7"/>
      <c r="G257" s="7"/>
      <c r="H257" s="7"/>
      <c r="I257" s="7"/>
      <c r="J257" s="7"/>
      <c r="K257" s="1"/>
      <c r="L257" s="1"/>
    </row>
    <row r="258" spans="1:12">
      <c r="A258" s="1"/>
      <c r="B258" s="1"/>
      <c r="C258" s="1" t="s">
        <v>10</v>
      </c>
      <c r="D258" s="7">
        <f>SUM(D255:D256)</f>
        <v>15760.69</v>
      </c>
      <c r="E258" s="7">
        <f>SUM(E255:E256)</f>
        <v>460.66</v>
      </c>
      <c r="F258" s="7">
        <f>SUM(F255:F256)</f>
        <v>402.48</v>
      </c>
      <c r="G258" s="7">
        <f>SUM(G255:G256)</f>
        <v>17.61</v>
      </c>
      <c r="H258" s="7">
        <f>SUM(H255:H256)</f>
        <v>18.399999999999999</v>
      </c>
      <c r="I258" s="7"/>
      <c r="J258" s="7">
        <f>SUM(D258:H258)</f>
        <v>16659.840000000004</v>
      </c>
      <c r="K258" s="1"/>
      <c r="L258" s="1"/>
    </row>
    <row r="259" spans="1:12">
      <c r="A259" s="1"/>
      <c r="B259" s="1"/>
      <c r="C259" s="1"/>
      <c r="D259" s="7"/>
      <c r="E259" s="7"/>
      <c r="F259" s="7"/>
      <c r="G259" s="7"/>
      <c r="H259" s="7"/>
      <c r="I259" s="7"/>
      <c r="J259" s="7"/>
      <c r="K259" s="1"/>
      <c r="L259" s="1"/>
    </row>
    <row r="260" spans="1:12">
      <c r="A260" s="1"/>
      <c r="B260" s="1"/>
      <c r="C260" s="1"/>
      <c r="D260" s="7"/>
      <c r="E260" s="7"/>
      <c r="F260" s="7"/>
      <c r="G260" s="7"/>
      <c r="H260" s="7"/>
      <c r="I260" s="7"/>
      <c r="J260" s="7"/>
      <c r="K260" s="1"/>
      <c r="L260" s="1"/>
    </row>
    <row r="261" spans="1:12">
      <c r="A261" s="1">
        <v>64</v>
      </c>
      <c r="B261" s="1" t="s">
        <v>59</v>
      </c>
      <c r="C261" s="1" t="s">
        <v>12</v>
      </c>
      <c r="D261" s="7">
        <v>44546.63</v>
      </c>
      <c r="E261" s="7">
        <v>591.1</v>
      </c>
      <c r="F261" s="7">
        <v>388.17</v>
      </c>
      <c r="G261" s="7">
        <v>273.85000000000002</v>
      </c>
      <c r="H261" s="7">
        <v>166.31</v>
      </c>
      <c r="I261" s="7"/>
      <c r="J261" s="7">
        <f>SUM(D261:H261)</f>
        <v>45966.05999999999</v>
      </c>
      <c r="K261" s="1"/>
      <c r="L261" s="1"/>
    </row>
    <row r="262" spans="1:12">
      <c r="A262" s="1"/>
      <c r="B262" s="1"/>
      <c r="C262" s="1"/>
      <c r="D262" s="7"/>
      <c r="E262" s="7"/>
      <c r="F262" s="7"/>
      <c r="G262" s="7"/>
      <c r="H262" s="7"/>
      <c r="I262" s="7"/>
      <c r="J262" s="7">
        <f>SUM(D262:H262)</f>
        <v>0</v>
      </c>
      <c r="K262" s="1"/>
      <c r="L262" s="1"/>
    </row>
    <row r="263" spans="1:12">
      <c r="A263" s="1"/>
      <c r="B263" s="1"/>
      <c r="C263" s="1" t="s">
        <v>10</v>
      </c>
      <c r="D263" s="7">
        <f>SUM(D261:D262)</f>
        <v>44546.63</v>
      </c>
      <c r="E263" s="7">
        <f>SUM(E261:E262)</f>
        <v>591.1</v>
      </c>
      <c r="F263" s="7">
        <f>SUM(F261:F262)</f>
        <v>388.17</v>
      </c>
      <c r="G263" s="7">
        <f>SUM(G261:G262)</f>
        <v>273.85000000000002</v>
      </c>
      <c r="H263" s="7">
        <f>SUM(H261:H262)</f>
        <v>166.31</v>
      </c>
      <c r="I263" s="7"/>
      <c r="J263" s="7">
        <f>SUM(D263:H263)</f>
        <v>45966.05999999999</v>
      </c>
      <c r="K263" s="1"/>
      <c r="L263" s="1"/>
    </row>
    <row r="264" spans="1:12">
      <c r="A264" s="1"/>
      <c r="B264" s="1"/>
      <c r="C264" s="1"/>
      <c r="D264" s="7"/>
      <c r="E264" s="7"/>
      <c r="F264" s="7"/>
      <c r="G264" s="7"/>
      <c r="H264" s="7"/>
      <c r="I264" s="7"/>
      <c r="J264" s="7"/>
      <c r="K264" s="1"/>
      <c r="L264" s="1"/>
    </row>
    <row r="265" spans="1:12">
      <c r="A265" s="1"/>
      <c r="B265" s="1"/>
      <c r="C265" s="1"/>
      <c r="D265" s="7"/>
      <c r="E265" s="7"/>
      <c r="F265" s="7"/>
      <c r="G265" s="7"/>
      <c r="H265" s="7"/>
      <c r="I265" s="7"/>
      <c r="J265" s="7"/>
      <c r="K265" s="1"/>
      <c r="L265" s="1"/>
    </row>
    <row r="266" spans="1:12">
      <c r="A266" s="1">
        <v>65</v>
      </c>
      <c r="B266" s="1" t="s">
        <v>60</v>
      </c>
      <c r="C266" s="1" t="s">
        <v>12</v>
      </c>
      <c r="D266" s="7">
        <v>7305.2</v>
      </c>
      <c r="E266" s="7">
        <v>34.020000000000003</v>
      </c>
      <c r="F266" s="7">
        <v>0</v>
      </c>
      <c r="G266" s="7">
        <v>0</v>
      </c>
      <c r="H266" s="7">
        <v>0</v>
      </c>
      <c r="I266" s="7"/>
      <c r="J266" s="7">
        <f>SUM(D266:H266)</f>
        <v>7339.22</v>
      </c>
      <c r="K266" s="1"/>
      <c r="L266" s="1"/>
    </row>
    <row r="267" spans="1:12">
      <c r="A267" s="1"/>
      <c r="B267" s="4"/>
      <c r="C267" s="4" t="s">
        <v>13</v>
      </c>
      <c r="D267" s="5"/>
      <c r="E267" s="5"/>
      <c r="F267" s="5">
        <v>0</v>
      </c>
      <c r="G267" s="5">
        <v>0</v>
      </c>
      <c r="H267" s="6">
        <v>0</v>
      </c>
      <c r="I267" s="6"/>
      <c r="J267" s="5">
        <f>SUM(D267:H267)</f>
        <v>0</v>
      </c>
      <c r="K267" s="1"/>
      <c r="L267" s="1"/>
    </row>
    <row r="268" spans="1:12">
      <c r="A268" s="1"/>
      <c r="B268" s="1"/>
      <c r="C268" s="1"/>
      <c r="D268" s="7"/>
      <c r="E268" s="7"/>
      <c r="F268" s="7"/>
      <c r="G268" s="7"/>
      <c r="H268" s="7"/>
      <c r="I268" s="7"/>
      <c r="J268" s="7"/>
      <c r="K268" s="1"/>
      <c r="L268" s="1"/>
    </row>
    <row r="269" spans="1:12">
      <c r="A269" s="1"/>
      <c r="B269" s="1"/>
      <c r="C269" s="1" t="s">
        <v>10</v>
      </c>
      <c r="D269" s="7">
        <f>SUM(D266:D267)</f>
        <v>7305.2</v>
      </c>
      <c r="E269" s="7">
        <f>SUM(E266:E267)</f>
        <v>34.020000000000003</v>
      </c>
      <c r="F269" s="7">
        <f>SUM(F266:F267)</f>
        <v>0</v>
      </c>
      <c r="G269" s="7">
        <f>SUM(G266:G267)</f>
        <v>0</v>
      </c>
      <c r="H269" s="7">
        <f>SUM(H266:H267)</f>
        <v>0</v>
      </c>
      <c r="I269" s="7"/>
      <c r="J269" s="7">
        <f>SUM(D269:H269)</f>
        <v>7339.22</v>
      </c>
      <c r="K269" s="1"/>
      <c r="L269" s="1"/>
    </row>
    <row r="270" spans="1:12">
      <c r="A270" s="1"/>
      <c r="B270" s="1"/>
      <c r="C270" s="1"/>
      <c r="D270" s="7"/>
      <c r="E270" s="7"/>
      <c r="F270" s="7"/>
      <c r="G270" s="7"/>
      <c r="H270" s="7"/>
      <c r="I270" s="7"/>
      <c r="J270" s="7"/>
      <c r="K270" s="1"/>
      <c r="L270" s="1"/>
    </row>
    <row r="271" spans="1:12">
      <c r="A271" s="1"/>
      <c r="B271" s="1"/>
      <c r="C271" s="1"/>
      <c r="D271" s="7"/>
      <c r="E271" s="7"/>
      <c r="F271" s="7"/>
      <c r="G271" s="7"/>
      <c r="H271" s="7"/>
      <c r="I271" s="7"/>
      <c r="J271" s="7"/>
      <c r="K271" s="1"/>
      <c r="L271" s="1"/>
    </row>
    <row r="272" spans="1:12">
      <c r="A272" s="1">
        <v>66</v>
      </c>
      <c r="B272" s="1" t="s">
        <v>61</v>
      </c>
      <c r="C272" s="1" t="s">
        <v>12</v>
      </c>
      <c r="D272" s="7">
        <v>15154.32</v>
      </c>
      <c r="E272" s="7">
        <v>496.67</v>
      </c>
      <c r="F272" s="7">
        <v>472.48</v>
      </c>
      <c r="G272" s="7">
        <v>443.39</v>
      </c>
      <c r="H272" s="7">
        <v>281.38</v>
      </c>
      <c r="I272" s="7"/>
      <c r="J272" s="7">
        <f>SUM(D272:H272)</f>
        <v>16848.240000000002</v>
      </c>
      <c r="K272" s="1"/>
      <c r="L272" s="1"/>
    </row>
    <row r="273" spans="1:12">
      <c r="A273" s="1"/>
      <c r="B273" s="1"/>
      <c r="C273" s="1" t="s">
        <v>13</v>
      </c>
      <c r="D273" s="7">
        <v>992.69</v>
      </c>
      <c r="E273" s="7">
        <v>49.1</v>
      </c>
      <c r="F273" s="7">
        <v>46.79</v>
      </c>
      <c r="G273" s="7">
        <v>21.83</v>
      </c>
      <c r="H273" s="7">
        <v>25.23</v>
      </c>
      <c r="I273" s="7"/>
      <c r="J273" s="7">
        <f>SUM(D273:H273)</f>
        <v>1135.6399999999999</v>
      </c>
      <c r="K273" s="1"/>
      <c r="L273" s="1"/>
    </row>
    <row r="274" spans="1:12">
      <c r="A274" s="1"/>
      <c r="B274" s="1"/>
      <c r="C274" s="1" t="s">
        <v>73</v>
      </c>
      <c r="D274" s="7">
        <v>1008.03</v>
      </c>
      <c r="E274" s="7">
        <v>32.880000000000003</v>
      </c>
      <c r="F274" s="7"/>
      <c r="G274" s="7"/>
      <c r="H274" s="7"/>
      <c r="I274" s="7"/>
      <c r="J274" s="7">
        <f>SUM(D274:H274)</f>
        <v>1040.9100000000001</v>
      </c>
      <c r="K274" s="1"/>
      <c r="L274" s="1"/>
    </row>
    <row r="275" spans="1:12">
      <c r="A275" s="1"/>
      <c r="B275" s="1"/>
      <c r="C275" s="1"/>
      <c r="D275" s="7"/>
      <c r="E275" s="7"/>
      <c r="F275" s="7"/>
      <c r="G275" s="7"/>
      <c r="H275" s="7"/>
      <c r="I275" s="7"/>
      <c r="J275" s="7"/>
      <c r="K275" s="1"/>
      <c r="L275" s="1"/>
    </row>
    <row r="276" spans="1:12">
      <c r="A276" s="1"/>
      <c r="B276" s="1"/>
      <c r="C276" s="1" t="s">
        <v>10</v>
      </c>
      <c r="D276" s="1">
        <f>SUM(D272:D274)</f>
        <v>17155.04</v>
      </c>
      <c r="E276" s="1">
        <f>SUM(E272:E274)</f>
        <v>578.65</v>
      </c>
      <c r="F276" s="1">
        <f>SUM(F272:F274)</f>
        <v>519.27</v>
      </c>
      <c r="G276" s="1">
        <f>SUM(G272:G274)</f>
        <v>465.21999999999997</v>
      </c>
      <c r="H276" s="1">
        <f>SUM(H272:H274)</f>
        <v>306.61</v>
      </c>
      <c r="I276" s="1"/>
      <c r="J276" s="7">
        <f>SUM(D276:H276)</f>
        <v>19024.790000000005</v>
      </c>
      <c r="K276" s="1"/>
      <c r="L276" s="1"/>
    </row>
    <row r="277" spans="1:12">
      <c r="A277" s="1"/>
      <c r="B277" s="1"/>
      <c r="C277" s="1"/>
      <c r="D277" s="1"/>
      <c r="E277" s="1"/>
      <c r="F277" s="1"/>
      <c r="G277" s="1"/>
      <c r="H277" s="1"/>
      <c r="I277" s="1"/>
      <c r="J277" s="7"/>
      <c r="K277" s="1"/>
      <c r="L277" s="1"/>
    </row>
    <row r="278" spans="1:12">
      <c r="A278" s="1"/>
      <c r="B278" s="1"/>
      <c r="C278" s="1"/>
      <c r="D278" s="7"/>
      <c r="E278" s="7"/>
      <c r="F278" s="7"/>
      <c r="G278" s="7"/>
      <c r="H278" s="7"/>
      <c r="I278" s="7"/>
      <c r="J278" s="7"/>
      <c r="K278" s="1"/>
      <c r="L278" s="1"/>
    </row>
    <row r="279" spans="1:12">
      <c r="A279" s="1">
        <v>67</v>
      </c>
      <c r="B279" s="1" t="s">
        <v>62</v>
      </c>
      <c r="C279" s="1" t="s">
        <v>12</v>
      </c>
      <c r="D279" s="7">
        <v>10551.94</v>
      </c>
      <c r="E279" s="7">
        <v>223.37</v>
      </c>
      <c r="F279" s="7">
        <v>196.26</v>
      </c>
      <c r="G279" s="7">
        <v>74.81</v>
      </c>
      <c r="H279" s="7">
        <v>0</v>
      </c>
      <c r="I279" s="7"/>
      <c r="J279" s="7">
        <f>SUM(D279:H279)</f>
        <v>11046.380000000001</v>
      </c>
      <c r="K279" s="1"/>
      <c r="L279" s="1"/>
    </row>
    <row r="280" spans="1:12">
      <c r="A280" s="1"/>
      <c r="B280" s="1"/>
      <c r="C280" s="1" t="s">
        <v>13</v>
      </c>
      <c r="D280" s="7">
        <v>262.83</v>
      </c>
      <c r="E280" s="7">
        <v>5.81</v>
      </c>
      <c r="F280" s="7">
        <v>4.8499999999999996</v>
      </c>
      <c r="G280" s="7">
        <v>3.18</v>
      </c>
      <c r="H280" s="7">
        <v>0</v>
      </c>
      <c r="I280" s="7"/>
      <c r="J280" s="7">
        <f>SUM(D280:H280)</f>
        <v>276.67</v>
      </c>
      <c r="K280" s="1"/>
      <c r="L280" s="1"/>
    </row>
    <row r="281" spans="1:12">
      <c r="A281" s="1"/>
      <c r="B281" s="1"/>
      <c r="C281" s="1"/>
      <c r="D281" s="7"/>
      <c r="E281" s="7"/>
      <c r="F281" s="7"/>
      <c r="G281" s="7"/>
      <c r="H281" s="7"/>
      <c r="I281" s="7"/>
      <c r="J281" s="7"/>
      <c r="K281" s="1"/>
      <c r="L281" s="1"/>
    </row>
    <row r="282" spans="1:12">
      <c r="A282" s="1"/>
      <c r="B282" s="1"/>
      <c r="C282" s="1" t="s">
        <v>10</v>
      </c>
      <c r="D282" s="7">
        <f>SUM(D279:D280)</f>
        <v>10814.77</v>
      </c>
      <c r="E282" s="7">
        <f>SUM(E279:E280)</f>
        <v>229.18</v>
      </c>
      <c r="F282" s="7">
        <f>SUM(F279:F280)</f>
        <v>201.10999999999999</v>
      </c>
      <c r="G282" s="7">
        <f>SUM(G279:G280)</f>
        <v>77.990000000000009</v>
      </c>
      <c r="H282" s="7">
        <f>SUM(H279:H280)</f>
        <v>0</v>
      </c>
      <c r="I282" s="7"/>
      <c r="J282" s="7">
        <f>SUM(D282:H282)</f>
        <v>11323.050000000001</v>
      </c>
      <c r="K282" s="1"/>
      <c r="L282" s="1"/>
    </row>
    <row r="283" spans="1:12">
      <c r="A283" s="1"/>
      <c r="B283" s="1"/>
      <c r="C283" s="1"/>
      <c r="D283" s="7"/>
      <c r="E283" s="7"/>
      <c r="F283" s="7"/>
      <c r="G283" s="7"/>
      <c r="H283" s="7"/>
      <c r="I283" s="7"/>
      <c r="J283" s="7"/>
      <c r="K283" s="1"/>
      <c r="L283" s="1"/>
    </row>
    <row r="284" spans="1:12">
      <c r="A284" s="1"/>
      <c r="B284" s="1"/>
      <c r="C284" s="1"/>
      <c r="D284" s="7"/>
      <c r="E284" s="7"/>
      <c r="F284" s="7"/>
      <c r="G284" s="7"/>
      <c r="H284" s="7"/>
      <c r="I284" s="7"/>
      <c r="J284" s="7"/>
      <c r="K284" s="1"/>
      <c r="L284" s="1"/>
    </row>
    <row r="285" spans="1:12">
      <c r="A285" s="1">
        <v>68</v>
      </c>
      <c r="B285" s="1" t="s">
        <v>63</v>
      </c>
      <c r="C285" s="1" t="s">
        <v>12</v>
      </c>
      <c r="D285" s="7">
        <v>10282.32</v>
      </c>
      <c r="E285" s="7">
        <v>165.59</v>
      </c>
      <c r="F285" s="7">
        <v>166.14</v>
      </c>
      <c r="G285" s="7">
        <v>165.28</v>
      </c>
      <c r="H285" s="7">
        <v>67.58</v>
      </c>
      <c r="I285" s="7"/>
      <c r="J285" s="7">
        <f>SUM(D285:H285)</f>
        <v>10846.91</v>
      </c>
      <c r="K285" s="1"/>
      <c r="L285" s="1"/>
    </row>
    <row r="286" spans="1:12">
      <c r="A286" s="1"/>
      <c r="B286" s="1"/>
      <c r="C286" s="1" t="s">
        <v>13</v>
      </c>
      <c r="D286" s="7">
        <v>527.55999999999995</v>
      </c>
      <c r="E286" s="7">
        <v>12.97</v>
      </c>
      <c r="F286" s="7">
        <v>12.95</v>
      </c>
      <c r="G286" s="7">
        <v>6.62</v>
      </c>
      <c r="H286" s="7">
        <v>5.15</v>
      </c>
      <c r="I286" s="7"/>
      <c r="J286" s="7">
        <f>SUM(D286:H286)</f>
        <v>565.25</v>
      </c>
      <c r="K286" s="1"/>
      <c r="L286" s="1"/>
    </row>
    <row r="287" spans="1:12">
      <c r="A287" s="1"/>
      <c r="B287" s="1"/>
      <c r="C287" s="1"/>
      <c r="D287" s="7"/>
      <c r="E287" s="7"/>
      <c r="F287" s="7"/>
      <c r="G287" s="7"/>
      <c r="H287" s="7"/>
      <c r="I287" s="7"/>
      <c r="J287" s="7"/>
      <c r="K287" s="1"/>
      <c r="L287" s="1"/>
    </row>
    <row r="288" spans="1:12">
      <c r="A288" s="1"/>
      <c r="B288" s="1"/>
      <c r="C288" s="1" t="s">
        <v>10</v>
      </c>
      <c r="D288" s="7">
        <f>SUM(D285:D286)</f>
        <v>10809.88</v>
      </c>
      <c r="E288" s="7">
        <f>SUM(E285:E286)</f>
        <v>178.56</v>
      </c>
      <c r="F288" s="7">
        <f>SUM(F285:F286)</f>
        <v>179.08999999999997</v>
      </c>
      <c r="G288" s="7">
        <f>SUM(G285:G286)</f>
        <v>171.9</v>
      </c>
      <c r="H288" s="7">
        <f>SUM(H285:H286)</f>
        <v>72.73</v>
      </c>
      <c r="I288" s="7"/>
      <c r="J288" s="7">
        <f>SUM(D288:H288)</f>
        <v>11412.159999999998</v>
      </c>
      <c r="K288" s="1"/>
      <c r="L288" s="1"/>
    </row>
    <row r="289" spans="1:12">
      <c r="A289" s="1"/>
      <c r="B289" s="1"/>
      <c r="C289" s="1"/>
      <c r="D289" s="7"/>
      <c r="E289" s="7"/>
      <c r="F289" s="7"/>
      <c r="G289" s="7"/>
      <c r="H289" s="7"/>
      <c r="I289" s="7"/>
      <c r="J289" s="7"/>
      <c r="K289" s="1"/>
      <c r="L289" s="1"/>
    </row>
    <row r="290" spans="1:12">
      <c r="A290" s="1"/>
      <c r="B290" s="1"/>
      <c r="C290" s="1"/>
      <c r="D290" s="7"/>
      <c r="E290" s="7"/>
      <c r="F290" s="7"/>
      <c r="G290" s="7"/>
      <c r="H290" s="7"/>
      <c r="I290" s="7"/>
      <c r="J290" s="7"/>
      <c r="K290" s="1"/>
      <c r="L290" s="1"/>
    </row>
    <row r="291" spans="1:12">
      <c r="A291" s="1">
        <v>69</v>
      </c>
      <c r="B291" s="1" t="s">
        <v>64</v>
      </c>
      <c r="C291" s="1" t="s">
        <v>12</v>
      </c>
      <c r="D291" s="7">
        <v>14313.38</v>
      </c>
      <c r="E291" s="7">
        <v>90.33</v>
      </c>
      <c r="F291" s="7">
        <v>48.65</v>
      </c>
      <c r="G291" s="7">
        <v>22.57</v>
      </c>
      <c r="H291" s="7">
        <v>3.75</v>
      </c>
      <c r="I291" s="7"/>
      <c r="J291" s="7">
        <f>SUM(D291:H291)</f>
        <v>14478.679999999998</v>
      </c>
      <c r="K291" s="1"/>
      <c r="L291" s="1"/>
    </row>
    <row r="292" spans="1:12">
      <c r="A292" s="1"/>
      <c r="B292" s="1"/>
      <c r="C292" s="1" t="s">
        <v>13</v>
      </c>
      <c r="D292" s="7"/>
      <c r="E292" s="7"/>
      <c r="F292" s="7"/>
      <c r="G292" s="7"/>
      <c r="H292" s="7">
        <v>0</v>
      </c>
      <c r="I292" s="7"/>
      <c r="J292" s="7">
        <f>SUM(D292:H292)</f>
        <v>0</v>
      </c>
      <c r="K292" s="1"/>
      <c r="L292" s="1"/>
    </row>
    <row r="293" spans="1:12">
      <c r="A293" s="1"/>
      <c r="B293" s="1"/>
      <c r="C293" s="1"/>
      <c r="D293" s="7"/>
      <c r="E293" s="7"/>
      <c r="F293" s="7"/>
      <c r="G293" s="7"/>
      <c r="H293" s="7"/>
      <c r="I293" s="7"/>
      <c r="J293" s="7"/>
      <c r="K293" s="1"/>
      <c r="L293" s="1"/>
    </row>
    <row r="294" spans="1:12">
      <c r="A294" s="1"/>
      <c r="B294" s="1"/>
      <c r="C294" s="1" t="s">
        <v>10</v>
      </c>
      <c r="D294" s="7">
        <f>SUM(D291:D292)</f>
        <v>14313.38</v>
      </c>
      <c r="E294" s="7">
        <f>SUM(E291:E292)</f>
        <v>90.33</v>
      </c>
      <c r="F294" s="7">
        <f>SUM(F291:F292)</f>
        <v>48.65</v>
      </c>
      <c r="G294" s="7">
        <f>SUM(G291:G292)</f>
        <v>22.57</v>
      </c>
      <c r="H294" s="7">
        <f>SUM(H291:H292)</f>
        <v>3.75</v>
      </c>
      <c r="I294" s="7"/>
      <c r="J294" s="7">
        <f>SUM(D294:H294)</f>
        <v>14478.679999999998</v>
      </c>
      <c r="K294" s="1"/>
      <c r="L294" s="1"/>
    </row>
    <row r="295" spans="1:12">
      <c r="A295" s="1"/>
      <c r="B295" s="1"/>
      <c r="C295" s="1"/>
      <c r="D295" s="7"/>
      <c r="E295" s="7"/>
      <c r="F295" s="7"/>
      <c r="G295" s="7"/>
      <c r="H295" s="7"/>
      <c r="I295" s="7"/>
      <c r="J295" s="7"/>
      <c r="K295" s="1"/>
      <c r="L295" s="1"/>
    </row>
    <row r="296" spans="1:12">
      <c r="A296" s="1"/>
      <c r="B296" s="1"/>
      <c r="C296" s="1"/>
      <c r="D296" s="7"/>
      <c r="E296" s="7"/>
      <c r="F296" s="7"/>
      <c r="G296" s="7"/>
      <c r="H296" s="7"/>
      <c r="I296" s="7"/>
      <c r="J296" s="7"/>
      <c r="K296" s="1"/>
      <c r="L296" s="1"/>
    </row>
    <row r="297" spans="1:12">
      <c r="A297" s="1">
        <v>70</v>
      </c>
      <c r="B297" s="1" t="s">
        <v>65</v>
      </c>
      <c r="C297" s="1" t="s">
        <v>12</v>
      </c>
      <c r="D297" s="7">
        <v>10804.07</v>
      </c>
      <c r="E297" s="7">
        <v>260.25</v>
      </c>
      <c r="F297" s="7">
        <v>130.06</v>
      </c>
      <c r="G297" s="7">
        <v>58.09</v>
      </c>
      <c r="H297" s="7">
        <v>0</v>
      </c>
      <c r="I297" s="7"/>
      <c r="J297" s="7">
        <f>SUM(D297:H297)</f>
        <v>11252.47</v>
      </c>
      <c r="K297" s="1"/>
      <c r="L297" s="1"/>
    </row>
    <row r="298" spans="1:12">
      <c r="A298" s="1"/>
      <c r="B298" s="1"/>
      <c r="C298" s="1"/>
      <c r="D298" s="7"/>
      <c r="E298" s="7"/>
      <c r="F298" s="7"/>
      <c r="G298" s="7"/>
      <c r="H298" s="7"/>
      <c r="I298" s="7"/>
      <c r="J298" s="7">
        <f>SUM(D298:H298)</f>
        <v>0</v>
      </c>
      <c r="K298" s="1"/>
      <c r="L298" s="1"/>
    </row>
    <row r="299" spans="1:12">
      <c r="A299" s="1"/>
      <c r="B299" s="1"/>
      <c r="C299" s="1" t="s">
        <v>10</v>
      </c>
      <c r="D299" s="7">
        <f>SUM(D297:D298)</f>
        <v>10804.07</v>
      </c>
      <c r="E299" s="7">
        <f>SUM(E297:E298)</f>
        <v>260.25</v>
      </c>
      <c r="F299" s="7">
        <f>SUM(F297:F298)</f>
        <v>130.06</v>
      </c>
      <c r="G299" s="7">
        <f>SUM(G297:G298)</f>
        <v>58.09</v>
      </c>
      <c r="H299" s="7">
        <f>SUM(H297:H298)</f>
        <v>0</v>
      </c>
      <c r="I299" s="7"/>
      <c r="J299" s="7">
        <f>SUM(D299:H299)</f>
        <v>11252.47</v>
      </c>
      <c r="K299" s="1"/>
      <c r="L299" s="1"/>
    </row>
    <row r="300" spans="1:12">
      <c r="A300" s="1"/>
      <c r="B300" s="1"/>
      <c r="C300" s="1"/>
      <c r="D300" s="7"/>
      <c r="E300" s="7"/>
      <c r="F300" s="7"/>
      <c r="G300" s="7"/>
      <c r="H300" s="7"/>
      <c r="I300" s="7"/>
      <c r="J300" s="7"/>
      <c r="K300" s="1"/>
      <c r="L300" s="1"/>
    </row>
    <row r="301" spans="1:12">
      <c r="A301" s="1"/>
      <c r="B301" s="1"/>
      <c r="C301" s="1" t="s">
        <v>66</v>
      </c>
      <c r="D301" s="7">
        <f>SUM(D9:D299)/2</f>
        <v>687561.58999999962</v>
      </c>
      <c r="E301" s="7">
        <f>SUM(E9:E299)/2</f>
        <v>10302.750000000004</v>
      </c>
      <c r="F301" s="7">
        <f>SUM(F9:F299)/2</f>
        <v>5647</v>
      </c>
      <c r="G301" s="7">
        <f>SUM(G9:G299)/2</f>
        <v>2933.3900000000008</v>
      </c>
      <c r="H301" s="7">
        <f>SUM(H9:H299)/2</f>
        <v>1631.06</v>
      </c>
      <c r="I301" s="7"/>
      <c r="J301" s="7">
        <f>SUM(D301:H301)</f>
        <v>708075.78999999969</v>
      </c>
      <c r="K301" s="1"/>
      <c r="L301" s="1"/>
    </row>
    <row r="302" spans="1:12">
      <c r="A302" s="1"/>
      <c r="B302" s="1"/>
      <c r="C302" s="1"/>
      <c r="D302" s="7"/>
      <c r="E302" s="7"/>
      <c r="F302" s="7"/>
      <c r="G302" s="7"/>
      <c r="H302" s="7"/>
      <c r="I302" s="7"/>
      <c r="J302" s="7"/>
      <c r="K302" s="1"/>
      <c r="L302" s="1"/>
    </row>
    <row r="303" spans="1:12">
      <c r="A303" s="1"/>
      <c r="B303" s="1"/>
      <c r="C303" s="1"/>
      <c r="D303" s="7"/>
      <c r="E303" s="7"/>
      <c r="F303" s="7"/>
      <c r="G303" s="7"/>
      <c r="H303" s="7"/>
      <c r="I303" s="7"/>
      <c r="J303" s="7"/>
      <c r="K303" s="1"/>
      <c r="L303" s="1"/>
    </row>
    <row r="304" spans="1:12">
      <c r="A304" s="1"/>
      <c r="B304" s="1"/>
      <c r="C304" s="1"/>
      <c r="D304" s="7"/>
      <c r="E304" s="7"/>
      <c r="F304" s="7"/>
      <c r="G304" s="7"/>
      <c r="H304" s="7"/>
      <c r="I304" s="7"/>
      <c r="J304" s="7"/>
      <c r="K304" s="1"/>
      <c r="L304" s="1"/>
    </row>
    <row r="305" spans="1:1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</sheetData>
  <phoneticPr fontId="0" type="noConversion"/>
  <pageMargins left="0.25" right="0.25" top="0.25" bottom="0.25" header="0.5" footer="0.5"/>
  <pageSetup orientation="landscape" r:id="rId1"/>
  <headerFooter alignWithMargins="0"/>
  <rowBreaks count="51" manualBreakCount="51">
    <brk id="7" max="65535" man="1"/>
    <brk id="12" max="65535" man="1"/>
    <brk id="18" max="65535" man="1"/>
    <brk id="24" max="65535" man="1"/>
    <brk id="30" max="65535" man="1"/>
    <brk id="36" max="65535" man="1"/>
    <brk id="43" max="65535" man="1"/>
    <brk id="49" max="65535" man="1"/>
    <brk id="56" max="65535" man="1"/>
    <brk id="62" max="65535" man="1"/>
    <brk id="68" max="65535" man="1"/>
    <brk id="75" max="65535" man="1"/>
    <brk id="82" max="65535" man="1"/>
    <brk id="89" max="65535" man="1"/>
    <brk id="94" max="65535" man="1"/>
    <brk id="100" max="65535" man="1"/>
    <brk id="105" max="65535" man="1"/>
    <brk id="111" max="65535" man="1"/>
    <brk id="117" max="65535" man="1"/>
    <brk id="121" max="65535" man="1"/>
    <brk id="127" max="65535" man="1"/>
    <brk id="133" max="65535" man="1"/>
    <brk id="140" max="65535" man="1"/>
    <brk id="146" max="65535" man="1"/>
    <brk id="151" max="65535" man="1"/>
    <brk id="156" max="65535" man="1"/>
    <brk id="162" max="65535" man="1"/>
    <brk id="167" max="65535" man="1"/>
    <brk id="172" max="65535" man="1"/>
    <brk id="178" max="65535" man="1"/>
    <brk id="185" max="65535" man="1"/>
    <brk id="191" max="65535" man="1"/>
    <brk id="197" max="65535" man="1"/>
    <brk id="202" max="65535" man="1"/>
    <brk id="208" max="65535" man="1"/>
    <brk id="214" max="65535" man="1"/>
    <brk id="220" max="65535" man="1"/>
    <brk id="226" max="65535" man="1"/>
    <brk id="232" max="65535" man="1"/>
    <brk id="237" max="65535" man="1"/>
    <brk id="243" max="65535" man="1"/>
    <brk id="249" max="65535" man="1"/>
    <brk id="255" max="65535" man="1"/>
    <brk id="260" max="65535" man="1"/>
    <brk id="266" max="65535" man="1"/>
    <brk id="273" max="65535" man="1"/>
    <brk id="279" max="65535" man="1"/>
    <brk id="285" max="65535" man="1"/>
    <brk id="290" max="65535" man="1"/>
    <brk id="297" max="65535" man="1"/>
    <brk id="302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L306"/>
  <sheetViews>
    <sheetView showOutlineSymbols="0" defaultGridColor="0" colorId="23" zoomScale="75" workbookViewId="0"/>
  </sheetViews>
  <sheetFormatPr defaultColWidth="9.6640625" defaultRowHeight="15"/>
  <cols>
    <col min="1" max="1" width="9.6640625" customWidth="1"/>
    <col min="2" max="2" width="16.6640625" customWidth="1"/>
    <col min="3" max="3" width="21.6640625" customWidth="1"/>
    <col min="4" max="5" width="11.6640625" customWidth="1"/>
    <col min="6" max="9" width="9.6640625" customWidth="1"/>
    <col min="10" max="10" width="12.6640625" customWidth="1"/>
  </cols>
  <sheetData>
    <row r="1" spans="1:12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 t="s">
        <v>79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>
      <c r="A4" s="1"/>
      <c r="B4" s="3" t="s">
        <v>1</v>
      </c>
      <c r="C4" s="2"/>
      <c r="D4" s="2"/>
      <c r="E4" s="2"/>
      <c r="F4" s="2"/>
      <c r="G4" s="2"/>
      <c r="H4" s="2"/>
      <c r="I4" s="2"/>
      <c r="J4" s="2"/>
      <c r="K4" s="1"/>
      <c r="L4" s="1"/>
    </row>
    <row r="5" spans="1:12" ht="15.75">
      <c r="A5" s="1"/>
      <c r="B5" s="3" t="s">
        <v>80</v>
      </c>
      <c r="C5" s="2"/>
      <c r="D5" s="2"/>
      <c r="E5" s="2"/>
      <c r="F5" s="2"/>
      <c r="G5" s="2"/>
      <c r="H5" s="2"/>
      <c r="I5" s="2"/>
      <c r="J5" s="2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4" t="s">
        <v>3</v>
      </c>
      <c r="C7" s="4" t="s">
        <v>4</v>
      </c>
      <c r="D7" s="5" t="s">
        <v>81</v>
      </c>
      <c r="E7" s="5" t="s">
        <v>76</v>
      </c>
      <c r="F7" s="5" t="s">
        <v>77</v>
      </c>
      <c r="G7" s="5" t="s">
        <v>69</v>
      </c>
      <c r="H7" s="6" t="s">
        <v>5</v>
      </c>
      <c r="I7" s="6" t="s">
        <v>6</v>
      </c>
      <c r="J7" s="5" t="s">
        <v>10</v>
      </c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>
        <v>21</v>
      </c>
      <c r="B9" s="1" t="s">
        <v>11</v>
      </c>
      <c r="C9" s="1" t="s">
        <v>12</v>
      </c>
      <c r="D9" s="7">
        <v>7785.41</v>
      </c>
      <c r="E9" s="7">
        <v>203.98</v>
      </c>
      <c r="F9" s="7">
        <v>0</v>
      </c>
      <c r="G9" s="7">
        <v>0</v>
      </c>
      <c r="H9" s="7">
        <v>0</v>
      </c>
      <c r="I9" s="7">
        <v>0</v>
      </c>
      <c r="J9" s="7">
        <f>SUM(D9:H9)</f>
        <v>7989.3899999999994</v>
      </c>
      <c r="K9" s="1"/>
      <c r="L9" s="1"/>
    </row>
    <row r="10" spans="1:12">
      <c r="A10" s="1"/>
      <c r="B10" s="1"/>
      <c r="C10" s="1" t="s">
        <v>13</v>
      </c>
      <c r="D10" s="7">
        <v>134.61000000000001</v>
      </c>
      <c r="E10" s="7">
        <v>3.67</v>
      </c>
      <c r="F10" s="7">
        <v>0</v>
      </c>
      <c r="G10" s="7">
        <v>0</v>
      </c>
      <c r="H10" s="7">
        <v>0</v>
      </c>
      <c r="I10" s="7">
        <v>0</v>
      </c>
      <c r="J10" s="7">
        <f>SUM(D10:H10)</f>
        <v>138.28</v>
      </c>
      <c r="K10" s="1"/>
      <c r="L10" s="1"/>
    </row>
    <row r="11" spans="1:12">
      <c r="A11" s="1"/>
      <c r="B11" s="1"/>
      <c r="C11" s="1"/>
      <c r="D11" s="7"/>
      <c r="E11" s="7"/>
      <c r="F11" s="7"/>
      <c r="G11" s="7"/>
      <c r="H11" s="7"/>
      <c r="I11" s="7"/>
      <c r="J11" s="7"/>
      <c r="K11" s="1"/>
      <c r="L11" s="1"/>
    </row>
    <row r="12" spans="1:12">
      <c r="A12" s="1"/>
      <c r="B12" s="1"/>
      <c r="C12" s="1" t="s">
        <v>10</v>
      </c>
      <c r="D12" s="7">
        <f t="shared" ref="D12:I12" si="0">SUM(D9:D10)</f>
        <v>7920.0199999999995</v>
      </c>
      <c r="E12" s="7">
        <f t="shared" si="0"/>
        <v>207.64999999999998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7">
        <f t="shared" si="0"/>
        <v>0</v>
      </c>
      <c r="J12" s="7">
        <f>SUM(D12:H12)</f>
        <v>8127.6699999999992</v>
      </c>
      <c r="K12" s="1"/>
      <c r="L12" s="1"/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7"/>
      <c r="K13" s="1"/>
      <c r="L13" s="1"/>
    </row>
    <row r="14" spans="1:12">
      <c r="A14" s="1">
        <v>22</v>
      </c>
      <c r="B14" s="1" t="s">
        <v>15</v>
      </c>
      <c r="C14" s="1" t="s">
        <v>12</v>
      </c>
      <c r="D14" s="7">
        <v>5987.34</v>
      </c>
      <c r="E14" s="7">
        <v>21.3</v>
      </c>
      <c r="F14" s="7">
        <v>17.559999999999999</v>
      </c>
      <c r="G14" s="7">
        <v>0</v>
      </c>
      <c r="H14" s="7">
        <v>0</v>
      </c>
      <c r="I14" s="7">
        <v>0</v>
      </c>
      <c r="J14" s="7">
        <f>SUM(D14:H14)</f>
        <v>6026.2000000000007</v>
      </c>
      <c r="K14" s="1"/>
      <c r="L14" s="1"/>
    </row>
    <row r="15" spans="1:12">
      <c r="A15" s="1"/>
      <c r="B15" s="1"/>
      <c r="C15" s="1" t="s">
        <v>13</v>
      </c>
      <c r="D15" s="7">
        <v>413</v>
      </c>
      <c r="E15" s="7">
        <v>1.55</v>
      </c>
      <c r="F15" s="7">
        <v>1.2</v>
      </c>
      <c r="G15" s="7">
        <v>0</v>
      </c>
      <c r="H15" s="7">
        <v>0</v>
      </c>
      <c r="I15" s="7">
        <v>0</v>
      </c>
      <c r="J15" s="7">
        <f>SUM(D15:H15)</f>
        <v>415.75</v>
      </c>
      <c r="K15" s="1"/>
      <c r="L15" s="1"/>
    </row>
    <row r="16" spans="1:12">
      <c r="A16" s="1"/>
      <c r="B16" s="1"/>
      <c r="C16" s="1"/>
      <c r="D16" s="7"/>
      <c r="E16" s="7"/>
      <c r="F16" s="7"/>
      <c r="G16" s="7"/>
      <c r="H16" s="7"/>
      <c r="I16" s="7"/>
      <c r="J16" s="7"/>
      <c r="K16" s="1"/>
      <c r="L16" s="1"/>
    </row>
    <row r="17" spans="1:12">
      <c r="A17" s="1"/>
      <c r="B17" s="1"/>
      <c r="C17" s="1" t="s">
        <v>10</v>
      </c>
      <c r="D17" s="7">
        <f t="shared" ref="D17:I17" si="1">SUM(D14:D15)</f>
        <v>6400.34</v>
      </c>
      <c r="E17" s="7">
        <f t="shared" si="1"/>
        <v>22.85</v>
      </c>
      <c r="F17" s="7">
        <f t="shared" si="1"/>
        <v>18.759999999999998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>SUM(D17:H17)</f>
        <v>6441.9500000000007</v>
      </c>
      <c r="K17" s="1"/>
      <c r="L17" s="1"/>
    </row>
    <row r="18" spans="1:12">
      <c r="A18" s="1"/>
      <c r="B18" s="1"/>
      <c r="C18" s="1"/>
      <c r="D18" s="7"/>
      <c r="E18" s="7"/>
      <c r="F18" s="7"/>
      <c r="G18" s="7"/>
      <c r="H18" s="7"/>
      <c r="I18" s="7"/>
      <c r="J18" s="7"/>
      <c r="K18" s="1"/>
      <c r="L18" s="1"/>
    </row>
    <row r="19" spans="1:12">
      <c r="A19" s="1">
        <v>23</v>
      </c>
      <c r="B19" s="1" t="s">
        <v>16</v>
      </c>
      <c r="C19" s="1" t="s">
        <v>12</v>
      </c>
      <c r="D19" s="7">
        <v>4322.42</v>
      </c>
      <c r="E19" s="7">
        <v>156.31</v>
      </c>
      <c r="F19" s="7">
        <v>0</v>
      </c>
      <c r="G19" s="7">
        <v>0</v>
      </c>
      <c r="H19" s="7">
        <v>0</v>
      </c>
      <c r="I19" s="7">
        <v>0</v>
      </c>
      <c r="J19" s="7">
        <f>SUM(D19:H19)</f>
        <v>4478.7300000000005</v>
      </c>
      <c r="K19" s="1"/>
      <c r="L19" s="1"/>
    </row>
    <row r="20" spans="1:12">
      <c r="A20" s="1"/>
      <c r="B20" s="1"/>
      <c r="C20" s="1" t="s">
        <v>13</v>
      </c>
      <c r="D20" s="7">
        <v>208.54</v>
      </c>
      <c r="E20" s="7">
        <v>5.87</v>
      </c>
      <c r="F20" s="7">
        <v>0</v>
      </c>
      <c r="G20" s="7">
        <v>0</v>
      </c>
      <c r="H20" s="7">
        <v>0</v>
      </c>
      <c r="I20" s="7">
        <v>0</v>
      </c>
      <c r="J20" s="7">
        <f>SUM(D20:H20)</f>
        <v>214.41</v>
      </c>
      <c r="K20" s="1"/>
      <c r="L20" s="1"/>
    </row>
    <row r="21" spans="1:12">
      <c r="A21" s="1"/>
      <c r="B21" s="1"/>
      <c r="C21" s="1"/>
      <c r="D21" s="7"/>
      <c r="E21" s="7"/>
      <c r="F21" s="7"/>
      <c r="G21" s="7"/>
      <c r="H21" s="7"/>
      <c r="I21" s="7"/>
      <c r="J21" s="7"/>
      <c r="K21" s="1"/>
      <c r="L21" s="1"/>
    </row>
    <row r="22" spans="1:12">
      <c r="A22" s="1"/>
      <c r="B22" s="1"/>
      <c r="C22" s="1" t="s">
        <v>10</v>
      </c>
      <c r="D22" s="7">
        <f t="shared" ref="D22:I22" si="2">SUM(D19:D20)</f>
        <v>4530.96</v>
      </c>
      <c r="E22" s="7">
        <f t="shared" si="2"/>
        <v>162.18</v>
      </c>
      <c r="F22" s="7">
        <f t="shared" si="2"/>
        <v>0</v>
      </c>
      <c r="G22" s="7">
        <f t="shared" si="2"/>
        <v>0</v>
      </c>
      <c r="H22" s="7">
        <f t="shared" si="2"/>
        <v>0</v>
      </c>
      <c r="I22" s="7">
        <f t="shared" si="2"/>
        <v>0</v>
      </c>
      <c r="J22" s="7">
        <f>SUM(D22:H22)</f>
        <v>4693.1400000000003</v>
      </c>
      <c r="K22" s="1"/>
      <c r="L22" s="1"/>
    </row>
    <row r="23" spans="1:12">
      <c r="A23" s="1"/>
      <c r="B23" s="1"/>
      <c r="C23" s="1"/>
      <c r="D23" s="7"/>
      <c r="E23" s="7"/>
      <c r="F23" s="7"/>
      <c r="G23" s="7"/>
      <c r="H23" s="7"/>
      <c r="I23" s="7"/>
      <c r="J23" s="7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7"/>
      <c r="K24" s="1"/>
      <c r="L24" s="1"/>
    </row>
    <row r="25" spans="1:12">
      <c r="A25" s="1"/>
      <c r="B25" s="1"/>
      <c r="C25" s="1"/>
      <c r="D25" s="7"/>
      <c r="E25" s="7"/>
      <c r="F25" s="7"/>
      <c r="G25" s="7"/>
      <c r="H25" s="7"/>
      <c r="I25" s="7"/>
      <c r="J25" s="7"/>
      <c r="K25" s="1"/>
      <c r="L25" s="1"/>
    </row>
    <row r="26" spans="1:12">
      <c r="A26" s="1">
        <v>24</v>
      </c>
      <c r="B26" s="1" t="s">
        <v>17</v>
      </c>
      <c r="C26" s="1" t="s">
        <v>12</v>
      </c>
      <c r="D26" s="7">
        <v>3445.85</v>
      </c>
      <c r="E26" s="7">
        <v>35.39</v>
      </c>
      <c r="F26" s="7">
        <v>0</v>
      </c>
      <c r="G26" s="7">
        <v>0</v>
      </c>
      <c r="H26" s="7">
        <v>0</v>
      </c>
      <c r="I26" s="7">
        <v>0</v>
      </c>
      <c r="J26" s="7">
        <f>SUM(D26:H26)</f>
        <v>3481.24</v>
      </c>
      <c r="K26" s="1"/>
      <c r="L26" s="1"/>
    </row>
    <row r="27" spans="1:12">
      <c r="A27" s="1"/>
      <c r="B27" s="1"/>
      <c r="C27" s="1"/>
      <c r="D27" s="7"/>
      <c r="E27" s="7"/>
      <c r="F27" s="7"/>
      <c r="G27" s="7"/>
      <c r="H27" s="7"/>
      <c r="I27" s="7"/>
      <c r="J27" s="7">
        <f>SUM(D27:H27)</f>
        <v>0</v>
      </c>
      <c r="K27" s="1"/>
      <c r="L27" s="1"/>
    </row>
    <row r="28" spans="1:12">
      <c r="A28" s="1"/>
      <c r="B28" s="1"/>
      <c r="C28" s="1" t="s">
        <v>10</v>
      </c>
      <c r="D28" s="7">
        <f t="shared" ref="D28:I28" si="3">SUM(D26:D27)</f>
        <v>3445.85</v>
      </c>
      <c r="E28" s="7">
        <f t="shared" si="3"/>
        <v>35.39</v>
      </c>
      <c r="F28" s="7">
        <f t="shared" si="3"/>
        <v>0</v>
      </c>
      <c r="G28" s="7">
        <f t="shared" si="3"/>
        <v>0</v>
      </c>
      <c r="H28" s="7">
        <f t="shared" si="3"/>
        <v>0</v>
      </c>
      <c r="I28" s="7">
        <f t="shared" si="3"/>
        <v>0</v>
      </c>
      <c r="J28" s="7">
        <f>SUM(D28:H28)</f>
        <v>3481.24</v>
      </c>
      <c r="K28" s="1"/>
      <c r="L28" s="1"/>
    </row>
    <row r="29" spans="1:12">
      <c r="A29" s="1"/>
      <c r="B29" s="1"/>
      <c r="C29" s="1"/>
      <c r="D29" s="7"/>
      <c r="E29" s="7"/>
      <c r="F29" s="7"/>
      <c r="G29" s="7"/>
      <c r="H29" s="7"/>
      <c r="I29" s="7"/>
      <c r="J29" s="7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7"/>
      <c r="K30" s="1"/>
      <c r="L30" s="1"/>
    </row>
    <row r="31" spans="1:12">
      <c r="A31" s="1"/>
      <c r="B31" s="1"/>
      <c r="C31" s="1"/>
      <c r="D31" s="7"/>
      <c r="E31" s="7"/>
      <c r="F31" s="7"/>
      <c r="G31" s="7"/>
      <c r="H31" s="7"/>
      <c r="I31" s="7"/>
      <c r="J31" s="7"/>
      <c r="K31" s="1"/>
      <c r="L31" s="1"/>
    </row>
    <row r="32" spans="1:12">
      <c r="A32" s="1">
        <v>25</v>
      </c>
      <c r="B32" s="1" t="s">
        <v>18</v>
      </c>
      <c r="C32" s="1" t="s">
        <v>12</v>
      </c>
      <c r="D32" s="7">
        <v>15633.17</v>
      </c>
      <c r="E32" s="7">
        <v>424.46</v>
      </c>
      <c r="F32" s="7">
        <v>0</v>
      </c>
      <c r="G32" s="7">
        <v>0</v>
      </c>
      <c r="H32" s="7">
        <v>0</v>
      </c>
      <c r="I32" s="7">
        <v>0</v>
      </c>
      <c r="J32" s="7">
        <f>SUM(D32:H32)</f>
        <v>16057.63</v>
      </c>
      <c r="K32" s="1"/>
      <c r="L32" s="1"/>
    </row>
    <row r="33" spans="1:12">
      <c r="A33" s="1"/>
      <c r="B33" s="1"/>
      <c r="C33" s="1"/>
      <c r="D33" s="7"/>
      <c r="E33" s="7"/>
      <c r="F33" s="7"/>
      <c r="G33" s="7"/>
      <c r="H33" s="7"/>
      <c r="I33" s="7"/>
      <c r="J33" s="7"/>
      <c r="K33" s="1"/>
      <c r="L33" s="1"/>
    </row>
    <row r="34" spans="1:12">
      <c r="A34" s="1"/>
      <c r="B34" s="1"/>
      <c r="C34" s="1" t="s">
        <v>10</v>
      </c>
      <c r="D34" s="7">
        <f t="shared" ref="D34:I34" si="4">SUM(D32:D33)</f>
        <v>15633.17</v>
      </c>
      <c r="E34" s="7">
        <f t="shared" si="4"/>
        <v>424.46</v>
      </c>
      <c r="F34" s="7">
        <f t="shared" si="4"/>
        <v>0</v>
      </c>
      <c r="G34" s="7">
        <f t="shared" si="4"/>
        <v>0</v>
      </c>
      <c r="H34" s="7">
        <f t="shared" si="4"/>
        <v>0</v>
      </c>
      <c r="I34" s="7">
        <f t="shared" si="4"/>
        <v>0</v>
      </c>
      <c r="J34" s="7">
        <f>SUM(D34:H34)</f>
        <v>16057.63</v>
      </c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7"/>
      <c r="K35" s="1"/>
      <c r="L35" s="1"/>
    </row>
    <row r="36" spans="1:12">
      <c r="A36" s="1"/>
      <c r="B36" s="1"/>
      <c r="C36" s="1"/>
      <c r="D36" s="7"/>
      <c r="E36" s="7"/>
      <c r="F36" s="7"/>
      <c r="G36" s="7"/>
      <c r="H36" s="7"/>
      <c r="I36" s="7"/>
      <c r="J36" s="7"/>
      <c r="K36" s="1"/>
      <c r="L36" s="1"/>
    </row>
    <row r="37" spans="1:12">
      <c r="A37" s="1"/>
      <c r="B37" s="1"/>
      <c r="C37" s="1"/>
      <c r="D37" s="7"/>
      <c r="E37" s="7"/>
      <c r="F37" s="7"/>
      <c r="G37" s="7"/>
      <c r="H37" s="7"/>
      <c r="I37" s="7"/>
      <c r="J37" s="7"/>
      <c r="K37" s="1"/>
      <c r="L37" s="1"/>
    </row>
    <row r="38" spans="1:12">
      <c r="A38" s="1">
        <v>26</v>
      </c>
      <c r="B38" s="1" t="s">
        <v>19</v>
      </c>
      <c r="C38" s="1" t="s">
        <v>12</v>
      </c>
      <c r="D38" s="7">
        <v>5005.6899999999996</v>
      </c>
      <c r="E38" s="7">
        <v>36.270000000000003</v>
      </c>
      <c r="F38" s="7">
        <v>35.03</v>
      </c>
      <c r="G38" s="7">
        <v>0</v>
      </c>
      <c r="H38" s="7">
        <v>0</v>
      </c>
      <c r="I38" s="7">
        <v>0</v>
      </c>
      <c r="J38" s="7">
        <f>SUM(D38:H38)</f>
        <v>5076.99</v>
      </c>
      <c r="K38" s="1"/>
      <c r="L38" s="1"/>
    </row>
    <row r="39" spans="1:12">
      <c r="A39" s="1"/>
      <c r="B39" s="1"/>
      <c r="C39" s="1" t="s">
        <v>13</v>
      </c>
      <c r="D39" s="7">
        <v>129.58000000000001</v>
      </c>
      <c r="E39" s="7">
        <v>0.78</v>
      </c>
      <c r="F39" s="7">
        <v>0.74</v>
      </c>
      <c r="G39" s="7">
        <v>0</v>
      </c>
      <c r="H39" s="7"/>
      <c r="I39" s="7"/>
      <c r="J39" s="7">
        <f>SUM(D39:H39)</f>
        <v>131.10000000000002</v>
      </c>
      <c r="K39" s="1"/>
      <c r="L39" s="1"/>
    </row>
    <row r="40" spans="1:12">
      <c r="A40" s="1"/>
      <c r="B40" s="1"/>
      <c r="C40" s="1"/>
      <c r="D40" s="7"/>
      <c r="E40" s="7"/>
      <c r="F40" s="7"/>
      <c r="G40" s="7"/>
      <c r="H40" s="7"/>
      <c r="I40" s="7"/>
      <c r="J40" s="7"/>
      <c r="K40" s="1"/>
      <c r="L40" s="1"/>
    </row>
    <row r="41" spans="1:12">
      <c r="A41" s="1"/>
      <c r="B41" s="1"/>
      <c r="C41" s="1" t="s">
        <v>10</v>
      </c>
      <c r="D41" s="7">
        <f t="shared" ref="D41:I41" si="5">SUM(D38:D39)</f>
        <v>5135.2699999999995</v>
      </c>
      <c r="E41" s="7">
        <f t="shared" si="5"/>
        <v>37.050000000000004</v>
      </c>
      <c r="F41" s="7">
        <f t="shared" si="5"/>
        <v>35.770000000000003</v>
      </c>
      <c r="G41" s="7">
        <f t="shared" si="5"/>
        <v>0</v>
      </c>
      <c r="H41" s="7">
        <f t="shared" si="5"/>
        <v>0</v>
      </c>
      <c r="I41" s="7">
        <f t="shared" si="5"/>
        <v>0</v>
      </c>
      <c r="J41" s="7">
        <f>SUM(D41:H41)</f>
        <v>5208.09</v>
      </c>
      <c r="K41" s="1"/>
      <c r="L41" s="1"/>
    </row>
    <row r="42" spans="1:12">
      <c r="A42" s="1"/>
      <c r="B42" s="1"/>
      <c r="C42" s="1"/>
      <c r="D42" s="7"/>
      <c r="E42" s="7"/>
      <c r="F42" s="7"/>
      <c r="G42" s="7"/>
      <c r="H42" s="7"/>
      <c r="I42" s="7"/>
      <c r="J42" s="7"/>
      <c r="K42" s="1"/>
      <c r="L42" s="1"/>
    </row>
    <row r="43" spans="1:12">
      <c r="A43" s="1"/>
      <c r="B43" s="1"/>
      <c r="C43" s="1"/>
      <c r="D43" s="7"/>
      <c r="E43" s="7"/>
      <c r="F43" s="7"/>
      <c r="G43" s="7"/>
      <c r="H43" s="7"/>
      <c r="I43" s="7"/>
      <c r="J43" s="7"/>
      <c r="K43" s="1"/>
      <c r="L43" s="1"/>
    </row>
    <row r="44" spans="1:12">
      <c r="A44" s="1">
        <v>27</v>
      </c>
      <c r="B44" s="1" t="s">
        <v>20</v>
      </c>
      <c r="C44" s="1" t="s">
        <v>12</v>
      </c>
      <c r="D44" s="7">
        <v>6216.44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f>SUM(D44:H44)</f>
        <v>6216.44</v>
      </c>
      <c r="K44" s="1"/>
      <c r="L44" s="1"/>
    </row>
    <row r="45" spans="1:12">
      <c r="A45" s="1"/>
      <c r="B45" s="1"/>
      <c r="C45" s="1"/>
      <c r="D45" s="7"/>
      <c r="E45" s="7"/>
      <c r="F45" s="7"/>
      <c r="G45" s="7"/>
      <c r="H45" s="7"/>
      <c r="I45" s="7"/>
      <c r="J45" s="7">
        <f>SUM(D45:H45)</f>
        <v>0</v>
      </c>
      <c r="K45" s="1"/>
      <c r="L45" s="1"/>
    </row>
    <row r="46" spans="1:12">
      <c r="A46" s="1"/>
      <c r="B46" s="1"/>
      <c r="C46" s="1" t="s">
        <v>10</v>
      </c>
      <c r="D46" s="7">
        <f t="shared" ref="D46:I46" si="6">SUM(D44:D45)</f>
        <v>6216.44</v>
      </c>
      <c r="E46" s="7">
        <f t="shared" si="6"/>
        <v>0</v>
      </c>
      <c r="F46" s="7">
        <f t="shared" si="6"/>
        <v>0</v>
      </c>
      <c r="G46" s="7">
        <f t="shared" si="6"/>
        <v>0</v>
      </c>
      <c r="H46" s="7">
        <f t="shared" si="6"/>
        <v>0</v>
      </c>
      <c r="I46" s="7">
        <f t="shared" si="6"/>
        <v>0</v>
      </c>
      <c r="J46" s="7">
        <f>SUM(D46:H46)</f>
        <v>6216.44</v>
      </c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7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7"/>
      <c r="K48" s="1"/>
      <c r="L48" s="1"/>
    </row>
    <row r="49" spans="1:12">
      <c r="A49" s="1"/>
      <c r="B49" s="1"/>
      <c r="C49" s="1"/>
      <c r="D49" s="7"/>
      <c r="E49" s="7"/>
      <c r="F49" s="7"/>
      <c r="G49" s="7"/>
      <c r="H49" s="7"/>
      <c r="I49" s="7"/>
      <c r="J49" s="7"/>
      <c r="K49" s="1"/>
      <c r="L49" s="1"/>
    </row>
    <row r="50" spans="1:12">
      <c r="A50" s="1"/>
      <c r="B50" s="1"/>
      <c r="C50" s="1"/>
      <c r="D50" s="7"/>
      <c r="E50" s="7"/>
      <c r="F50" s="7"/>
      <c r="G50" s="7"/>
      <c r="H50" s="7"/>
      <c r="I50" s="7"/>
      <c r="J50" s="7"/>
      <c r="K50" s="1"/>
      <c r="L50" s="1"/>
    </row>
    <row r="51" spans="1:12">
      <c r="A51" s="1">
        <v>28</v>
      </c>
      <c r="B51" s="1" t="s">
        <v>21</v>
      </c>
      <c r="C51" s="1" t="s">
        <v>12</v>
      </c>
      <c r="D51" s="7">
        <v>5364.74</v>
      </c>
      <c r="E51" s="7">
        <v>113.53</v>
      </c>
      <c r="F51" s="7">
        <v>0</v>
      </c>
      <c r="G51" s="7">
        <v>0</v>
      </c>
      <c r="H51" s="7">
        <v>0</v>
      </c>
      <c r="I51" s="7">
        <v>0</v>
      </c>
      <c r="J51" s="7">
        <f>SUM(D51:H51)</f>
        <v>5478.2699999999995</v>
      </c>
      <c r="K51" s="1"/>
      <c r="L51" s="1"/>
    </row>
    <row r="52" spans="1:12">
      <c r="A52" s="1"/>
      <c r="B52" s="1"/>
      <c r="C52" s="1" t="s">
        <v>13</v>
      </c>
      <c r="D52" s="7">
        <v>182.43</v>
      </c>
      <c r="E52" s="7">
        <v>4.26</v>
      </c>
      <c r="F52" s="7">
        <v>0</v>
      </c>
      <c r="G52" s="7">
        <v>0</v>
      </c>
      <c r="H52" s="7">
        <v>0</v>
      </c>
      <c r="I52" s="7">
        <v>0</v>
      </c>
      <c r="J52" s="7">
        <f>SUM(D52:H52)</f>
        <v>186.69</v>
      </c>
      <c r="K52" s="1"/>
      <c r="L52" s="1"/>
    </row>
    <row r="53" spans="1:12">
      <c r="A53" s="1"/>
      <c r="B53" s="1"/>
      <c r="C53" s="1"/>
      <c r="D53" s="7"/>
      <c r="E53" s="7"/>
      <c r="F53" s="7"/>
      <c r="G53" s="7"/>
      <c r="H53" s="7"/>
      <c r="I53" s="7"/>
      <c r="J53" s="7"/>
      <c r="K53" s="1"/>
      <c r="L53" s="1"/>
    </row>
    <row r="54" spans="1:12">
      <c r="A54" s="1"/>
      <c r="B54" s="1"/>
      <c r="C54" s="1" t="s">
        <v>10</v>
      </c>
      <c r="D54" s="7">
        <f t="shared" ref="D54:I54" si="7">SUM(D51:D52)</f>
        <v>5547.17</v>
      </c>
      <c r="E54" s="7">
        <f t="shared" si="7"/>
        <v>117.79</v>
      </c>
      <c r="F54" s="7">
        <f t="shared" si="7"/>
        <v>0</v>
      </c>
      <c r="G54" s="7">
        <f t="shared" si="7"/>
        <v>0</v>
      </c>
      <c r="H54" s="7">
        <f t="shared" si="7"/>
        <v>0</v>
      </c>
      <c r="I54" s="7">
        <f t="shared" si="7"/>
        <v>0</v>
      </c>
      <c r="J54" s="7">
        <f>SUM(D54:H54)</f>
        <v>5664.96</v>
      </c>
      <c r="K54" s="1"/>
      <c r="L54" s="1"/>
    </row>
    <row r="55" spans="1:12">
      <c r="A55" s="1"/>
      <c r="B55" s="1"/>
      <c r="C55" s="1"/>
      <c r="D55" s="7"/>
      <c r="E55" s="7"/>
      <c r="F55" s="7"/>
      <c r="G55" s="7"/>
      <c r="H55" s="7"/>
      <c r="I55" s="7"/>
      <c r="J55" s="7"/>
      <c r="K55" s="1"/>
      <c r="L55" s="1"/>
    </row>
    <row r="56" spans="1:12">
      <c r="A56" s="1"/>
      <c r="B56" s="1"/>
      <c r="C56" s="1"/>
      <c r="D56" s="7"/>
      <c r="E56" s="7"/>
      <c r="F56" s="7"/>
      <c r="G56" s="7"/>
      <c r="H56" s="7"/>
      <c r="I56" s="7"/>
      <c r="J56" s="7"/>
      <c r="K56" s="1"/>
      <c r="L56" s="1"/>
    </row>
    <row r="57" spans="1:12">
      <c r="A57" s="1">
        <v>29</v>
      </c>
      <c r="B57" s="1" t="s">
        <v>22</v>
      </c>
      <c r="C57" s="1" t="s">
        <v>12</v>
      </c>
      <c r="D57" s="7">
        <v>10040.16</v>
      </c>
      <c r="E57" s="7">
        <v>57.12</v>
      </c>
      <c r="F57" s="7">
        <v>49.35</v>
      </c>
      <c r="G57" s="7">
        <v>52.15</v>
      </c>
      <c r="H57" s="7">
        <v>0.28999999999999998</v>
      </c>
      <c r="I57" s="7">
        <v>0</v>
      </c>
      <c r="J57" s="7">
        <f>SUM(D57:H57)</f>
        <v>10199.070000000002</v>
      </c>
      <c r="K57" s="1"/>
      <c r="L57" s="1"/>
    </row>
    <row r="58" spans="1:12">
      <c r="A58" s="1"/>
      <c r="B58" s="1"/>
      <c r="C58" s="1" t="s">
        <v>35</v>
      </c>
      <c r="D58" s="7">
        <v>438.86</v>
      </c>
      <c r="E58" s="7">
        <v>3.49</v>
      </c>
      <c r="F58" s="7">
        <v>2.92</v>
      </c>
      <c r="G58" s="7">
        <v>2.08</v>
      </c>
      <c r="H58" s="7">
        <v>0.2</v>
      </c>
      <c r="I58" s="7">
        <v>0</v>
      </c>
      <c r="J58" s="7">
        <f>SUM(D58:H58)</f>
        <v>447.55</v>
      </c>
      <c r="K58" s="1"/>
      <c r="L58" s="1"/>
    </row>
    <row r="59" spans="1:12">
      <c r="A59" s="1"/>
      <c r="B59" s="1"/>
      <c r="C59" s="1" t="s">
        <v>13</v>
      </c>
      <c r="D59" s="7">
        <v>588.22</v>
      </c>
      <c r="E59" s="7"/>
      <c r="F59" s="7"/>
      <c r="G59" s="7"/>
      <c r="H59" s="7"/>
      <c r="I59" s="7"/>
      <c r="J59" s="7"/>
      <c r="K59" s="1"/>
      <c r="L59" s="1"/>
    </row>
    <row r="60" spans="1:12">
      <c r="A60" s="1"/>
      <c r="B60" s="1"/>
      <c r="C60" s="1" t="s">
        <v>78</v>
      </c>
      <c r="D60" s="7">
        <v>1229.3399999999999</v>
      </c>
      <c r="E60" s="7"/>
      <c r="F60" s="7"/>
      <c r="G60" s="7"/>
      <c r="H60" s="7"/>
      <c r="I60" s="7"/>
      <c r="J60" s="7"/>
      <c r="K60" s="1"/>
      <c r="L60" s="1"/>
    </row>
    <row r="61" spans="1:12">
      <c r="A61" s="1"/>
      <c r="B61" s="1"/>
      <c r="C61" s="1"/>
      <c r="D61" s="7"/>
      <c r="E61" s="7"/>
      <c r="F61" s="7"/>
      <c r="G61" s="7"/>
      <c r="H61" s="7"/>
      <c r="I61" s="7"/>
      <c r="J61" s="7"/>
      <c r="K61" s="1"/>
      <c r="L61" s="1"/>
    </row>
    <row r="62" spans="1:12">
      <c r="A62" s="1"/>
      <c r="B62" s="1"/>
      <c r="C62" s="1" t="s">
        <v>10</v>
      </c>
      <c r="D62" s="7">
        <f t="shared" ref="D62:I62" si="8">SUM(D57:D60)</f>
        <v>12296.58</v>
      </c>
      <c r="E62" s="7">
        <f t="shared" si="8"/>
        <v>60.61</v>
      </c>
      <c r="F62" s="7">
        <f t="shared" si="8"/>
        <v>52.27</v>
      </c>
      <c r="G62" s="7">
        <f t="shared" si="8"/>
        <v>54.23</v>
      </c>
      <c r="H62" s="7">
        <f t="shared" si="8"/>
        <v>0.49</v>
      </c>
      <c r="I62" s="7">
        <f t="shared" si="8"/>
        <v>0</v>
      </c>
      <c r="J62" s="7">
        <f>SUM(D62:H62)</f>
        <v>12464.18</v>
      </c>
      <c r="K62" s="1"/>
      <c r="L62" s="1"/>
    </row>
    <row r="63" spans="1:12">
      <c r="A63" s="1"/>
      <c r="B63" s="1"/>
      <c r="C63" s="1"/>
      <c r="D63" s="7"/>
      <c r="E63" s="7"/>
      <c r="F63" s="7"/>
      <c r="G63" s="7"/>
      <c r="H63" s="7"/>
      <c r="I63" s="7"/>
      <c r="J63" s="7"/>
      <c r="K63" s="1"/>
      <c r="L63" s="1"/>
    </row>
    <row r="64" spans="1:12">
      <c r="A64" s="1">
        <v>30</v>
      </c>
      <c r="B64" s="1" t="s">
        <v>23</v>
      </c>
      <c r="C64" s="1" t="s">
        <v>12</v>
      </c>
      <c r="D64" s="7">
        <v>3740.24</v>
      </c>
      <c r="E64" s="7">
        <v>32.46</v>
      </c>
      <c r="F64" s="7">
        <v>1.36</v>
      </c>
      <c r="G64" s="7">
        <v>0</v>
      </c>
      <c r="H64" s="7">
        <v>0</v>
      </c>
      <c r="I64" s="7">
        <v>0</v>
      </c>
      <c r="J64" s="7">
        <f>SUM(D64:H64)</f>
        <v>3774.06</v>
      </c>
      <c r="K64" s="1"/>
      <c r="L64" s="1"/>
    </row>
    <row r="65" spans="1:12">
      <c r="A65" s="1"/>
      <c r="B65" s="1"/>
      <c r="C65" s="1" t="s">
        <v>13</v>
      </c>
      <c r="D65" s="7"/>
      <c r="E65" s="7"/>
      <c r="F65" s="7">
        <v>-0.09</v>
      </c>
      <c r="G65" s="7"/>
      <c r="H65" s="7"/>
      <c r="I65" s="7"/>
      <c r="J65" s="7"/>
      <c r="K65" s="1"/>
      <c r="L65" s="1"/>
    </row>
    <row r="66" spans="1:12">
      <c r="A66" s="1"/>
      <c r="B66" s="1"/>
      <c r="C66" s="1"/>
      <c r="D66" s="7"/>
      <c r="E66" s="7"/>
      <c r="F66" s="7"/>
      <c r="G66" s="7"/>
      <c r="H66" s="7"/>
      <c r="I66" s="7"/>
      <c r="J66" s="7"/>
      <c r="K66" s="1"/>
      <c r="L66" s="1"/>
    </row>
    <row r="67" spans="1:12">
      <c r="A67" s="1"/>
      <c r="B67" s="1"/>
      <c r="C67" s="1" t="s">
        <v>10</v>
      </c>
      <c r="D67" s="7">
        <f t="shared" ref="D67:I67" si="9">SUM(D64:D65)</f>
        <v>3740.24</v>
      </c>
      <c r="E67" s="7">
        <f t="shared" si="9"/>
        <v>32.46</v>
      </c>
      <c r="F67" s="7">
        <f t="shared" si="9"/>
        <v>1.27</v>
      </c>
      <c r="G67" s="7">
        <f t="shared" si="9"/>
        <v>0</v>
      </c>
      <c r="H67" s="7">
        <f t="shared" si="9"/>
        <v>0</v>
      </c>
      <c r="I67" s="7">
        <f t="shared" si="9"/>
        <v>0</v>
      </c>
      <c r="J67" s="7">
        <f>SUM(D67:H67)</f>
        <v>3773.97</v>
      </c>
      <c r="K67" s="1"/>
      <c r="L67" s="1"/>
    </row>
    <row r="68" spans="1:12">
      <c r="A68" s="1"/>
      <c r="B68" s="1"/>
      <c r="C68" s="1"/>
      <c r="D68" s="7"/>
      <c r="E68" s="7"/>
      <c r="F68" s="7"/>
      <c r="G68" s="7"/>
      <c r="H68" s="7"/>
      <c r="I68" s="7"/>
      <c r="J68" s="7"/>
      <c r="K68" s="1"/>
      <c r="L68" s="1"/>
    </row>
    <row r="69" spans="1:12">
      <c r="A69" s="1"/>
      <c r="B69" s="1"/>
      <c r="C69" s="1"/>
      <c r="D69" s="7"/>
      <c r="E69" s="7"/>
      <c r="F69" s="7"/>
      <c r="G69" s="7"/>
      <c r="H69" s="7"/>
      <c r="I69" s="7"/>
      <c r="J69" s="7"/>
      <c r="K69" s="1"/>
      <c r="L69" s="1"/>
    </row>
    <row r="70" spans="1:12">
      <c r="A70" s="1">
        <v>31</v>
      </c>
      <c r="B70" s="1" t="s">
        <v>24</v>
      </c>
      <c r="C70" s="1" t="s">
        <v>12</v>
      </c>
      <c r="D70" s="7">
        <v>1697.54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f>SUM(D70:H70)</f>
        <v>1697.54</v>
      </c>
      <c r="K70" s="1"/>
      <c r="L70" s="1"/>
    </row>
    <row r="71" spans="1:12">
      <c r="A71" s="1"/>
      <c r="B71" s="1"/>
      <c r="C71" s="1" t="s">
        <v>13</v>
      </c>
      <c r="D71" s="7">
        <v>69.099999999999994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f>SUM(D71:H71)</f>
        <v>69.099999999999994</v>
      </c>
      <c r="K71" s="1"/>
      <c r="L71" s="1"/>
    </row>
    <row r="72" spans="1:12">
      <c r="A72" s="1"/>
      <c r="B72" s="1"/>
      <c r="C72" s="1"/>
      <c r="D72" s="7"/>
      <c r="E72" s="7"/>
      <c r="F72" s="7"/>
      <c r="G72" s="7"/>
      <c r="H72" s="7"/>
      <c r="I72" s="7"/>
      <c r="J72" s="7"/>
      <c r="K72" s="1"/>
      <c r="L72" s="1"/>
    </row>
    <row r="73" spans="1:12">
      <c r="A73" s="1"/>
      <c r="B73" s="1"/>
      <c r="C73" s="1" t="s">
        <v>10</v>
      </c>
      <c r="D73" s="7">
        <f t="shared" ref="D73:I73" si="10">SUM(D70:D71)</f>
        <v>1766.6399999999999</v>
      </c>
      <c r="E73" s="7">
        <f t="shared" si="10"/>
        <v>0</v>
      </c>
      <c r="F73" s="7">
        <f t="shared" si="10"/>
        <v>0</v>
      </c>
      <c r="G73" s="7">
        <f t="shared" si="10"/>
        <v>0</v>
      </c>
      <c r="H73" s="7">
        <f t="shared" si="10"/>
        <v>0</v>
      </c>
      <c r="I73" s="7">
        <f t="shared" si="10"/>
        <v>0</v>
      </c>
      <c r="J73" s="7">
        <f>SUM(D73:H73)</f>
        <v>1766.6399999999999</v>
      </c>
      <c r="K73" s="1"/>
      <c r="L73" s="1"/>
    </row>
    <row r="74" spans="1:12">
      <c r="A74" s="1"/>
      <c r="B74" s="1"/>
      <c r="C74" s="1"/>
      <c r="D74" s="7"/>
      <c r="E74" s="7"/>
      <c r="F74" s="7"/>
      <c r="G74" s="7"/>
      <c r="H74" s="7"/>
      <c r="I74" s="7"/>
      <c r="J74" s="7"/>
      <c r="K74" s="1"/>
      <c r="L74" s="1"/>
    </row>
    <row r="75" spans="1:12">
      <c r="A75" s="1"/>
      <c r="B75" s="1"/>
      <c r="C75" s="1"/>
      <c r="D75" s="7"/>
      <c r="E75" s="7"/>
      <c r="F75" s="7"/>
      <c r="G75" s="7"/>
      <c r="H75" s="7"/>
      <c r="I75" s="7"/>
      <c r="J75" s="7"/>
      <c r="K75" s="1"/>
      <c r="L75" s="1"/>
    </row>
    <row r="76" spans="1:12">
      <c r="A76" s="1">
        <v>32</v>
      </c>
      <c r="B76" s="1" t="s">
        <v>25</v>
      </c>
      <c r="C76" s="1" t="s">
        <v>12</v>
      </c>
      <c r="D76" s="7">
        <v>6392.95</v>
      </c>
      <c r="E76" s="7">
        <v>207.09</v>
      </c>
      <c r="F76" s="7">
        <v>0</v>
      </c>
      <c r="G76" s="7">
        <v>0</v>
      </c>
      <c r="H76" s="7">
        <v>0</v>
      </c>
      <c r="I76" s="7">
        <v>0</v>
      </c>
      <c r="J76" s="7">
        <f>SUM(D76:H76)</f>
        <v>6600.04</v>
      </c>
      <c r="K76" s="1"/>
      <c r="L76" s="1"/>
    </row>
    <row r="77" spans="1:12">
      <c r="A77" s="1"/>
      <c r="B77" s="1"/>
      <c r="C77" s="1" t="s">
        <v>13</v>
      </c>
      <c r="D77" s="7">
        <v>145.62</v>
      </c>
      <c r="E77" s="7">
        <v>4.97</v>
      </c>
      <c r="F77" s="7">
        <v>0</v>
      </c>
      <c r="G77" s="7">
        <v>0</v>
      </c>
      <c r="H77" s="7">
        <v>0</v>
      </c>
      <c r="I77" s="7">
        <v>0</v>
      </c>
      <c r="J77" s="7">
        <f>SUM(D77:H77)</f>
        <v>150.59</v>
      </c>
      <c r="K77" s="1"/>
      <c r="L77" s="1"/>
    </row>
    <row r="78" spans="1:12">
      <c r="A78" s="1"/>
      <c r="B78" s="1"/>
      <c r="C78" s="1" t="s">
        <v>73</v>
      </c>
      <c r="D78" s="1">
        <v>660.42</v>
      </c>
      <c r="E78" s="1">
        <v>21.87</v>
      </c>
      <c r="F78" s="1"/>
      <c r="G78" s="1"/>
      <c r="H78" s="1"/>
      <c r="I78" s="1"/>
      <c r="J78" s="7">
        <f>SUM(D78:H78)</f>
        <v>682.29</v>
      </c>
      <c r="K78" s="1"/>
      <c r="L78" s="1"/>
    </row>
    <row r="79" spans="1:12">
      <c r="A79" s="1"/>
      <c r="B79" s="1"/>
      <c r="C79" s="1" t="s">
        <v>78</v>
      </c>
      <c r="D79" s="1">
        <v>987.47</v>
      </c>
      <c r="E79" s="1">
        <v>32.83</v>
      </c>
      <c r="F79" s="1"/>
      <c r="G79" s="1"/>
      <c r="H79" s="1"/>
      <c r="I79" s="1"/>
      <c r="J79" s="7">
        <f>SUM(D79:H79)</f>
        <v>1020.3000000000001</v>
      </c>
      <c r="K79" s="1"/>
      <c r="L79" s="1"/>
    </row>
    <row r="80" spans="1:12">
      <c r="A80" s="1"/>
      <c r="B80" s="1"/>
      <c r="C80" s="1"/>
      <c r="D80" s="1"/>
      <c r="E80" s="1"/>
      <c r="F80" s="1"/>
      <c r="G80" s="1"/>
      <c r="H80" s="1"/>
      <c r="I80" s="1"/>
      <c r="J80" s="7"/>
      <c r="K80" s="1"/>
      <c r="L80" s="1"/>
    </row>
    <row r="81" spans="1:12">
      <c r="A81" s="1"/>
      <c r="B81" s="1"/>
      <c r="C81" s="1" t="s">
        <v>10</v>
      </c>
      <c r="D81" s="7">
        <f t="shared" ref="D81:J81" si="11">SUM(D76:D79)</f>
        <v>8186.46</v>
      </c>
      <c r="E81" s="7">
        <f t="shared" si="11"/>
        <v>266.76</v>
      </c>
      <c r="F81" s="7">
        <f t="shared" si="11"/>
        <v>0</v>
      </c>
      <c r="G81" s="7">
        <f t="shared" si="11"/>
        <v>0</v>
      </c>
      <c r="H81" s="7">
        <f t="shared" si="11"/>
        <v>0</v>
      </c>
      <c r="I81" s="7">
        <f t="shared" si="11"/>
        <v>0</v>
      </c>
      <c r="J81" s="7">
        <f t="shared" si="11"/>
        <v>8453.2199999999993</v>
      </c>
      <c r="K81" s="1"/>
      <c r="L81" s="1"/>
    </row>
    <row r="82" spans="1:12">
      <c r="A82" s="1"/>
      <c r="B82" s="1"/>
      <c r="C82" s="1"/>
      <c r="D82" s="7"/>
      <c r="E82" s="7"/>
      <c r="F82" s="7"/>
      <c r="G82" s="7"/>
      <c r="H82" s="7"/>
      <c r="I82" s="7"/>
      <c r="J82" s="7"/>
      <c r="K82" s="1"/>
      <c r="L82" s="1"/>
    </row>
    <row r="83" spans="1:12">
      <c r="A83" s="1"/>
      <c r="B83" s="1"/>
      <c r="C83" s="1"/>
      <c r="D83" s="7"/>
      <c r="E83" s="7"/>
      <c r="F83" s="7"/>
      <c r="G83" s="7"/>
      <c r="H83" s="7"/>
      <c r="I83" s="7"/>
      <c r="J83" s="7"/>
      <c r="K83" s="1"/>
      <c r="L83" s="1"/>
    </row>
    <row r="84" spans="1:12">
      <c r="A84" s="1">
        <v>33</v>
      </c>
      <c r="B84" s="1" t="s">
        <v>26</v>
      </c>
      <c r="C84" s="1" t="s">
        <v>12</v>
      </c>
      <c r="D84" s="7">
        <v>7817.21</v>
      </c>
      <c r="E84" s="7">
        <v>593.39</v>
      </c>
      <c r="F84" s="7">
        <v>167.31</v>
      </c>
      <c r="G84" s="7">
        <v>0</v>
      </c>
      <c r="H84" s="7">
        <v>0</v>
      </c>
      <c r="I84" s="7">
        <v>0</v>
      </c>
      <c r="J84" s="7">
        <f>SUM(D84:H84)</f>
        <v>8577.91</v>
      </c>
      <c r="K84" s="1"/>
      <c r="L84" s="1"/>
    </row>
    <row r="85" spans="1:12">
      <c r="A85" s="1"/>
      <c r="B85" s="1"/>
      <c r="C85" s="1" t="s">
        <v>13</v>
      </c>
      <c r="D85" s="7">
        <v>111.3</v>
      </c>
      <c r="E85" s="7">
        <v>7.4</v>
      </c>
      <c r="F85" s="7">
        <v>1.99</v>
      </c>
      <c r="G85" s="7">
        <v>0</v>
      </c>
      <c r="H85" s="7">
        <v>0</v>
      </c>
      <c r="I85" s="7">
        <v>0</v>
      </c>
      <c r="J85" s="7">
        <f>SUM(D85:H85)</f>
        <v>120.69</v>
      </c>
      <c r="K85" s="1"/>
      <c r="L85" s="1"/>
    </row>
    <row r="86" spans="1:12">
      <c r="A86" s="1"/>
      <c r="B86" s="1"/>
      <c r="C86" s="1"/>
      <c r="D86" s="7"/>
      <c r="E86" s="7"/>
      <c r="F86" s="7"/>
      <c r="G86" s="7"/>
      <c r="H86" s="7"/>
      <c r="I86" s="7"/>
      <c r="J86" s="7"/>
      <c r="K86" s="1"/>
      <c r="L86" s="1"/>
    </row>
    <row r="87" spans="1:12">
      <c r="A87" s="1"/>
      <c r="B87" s="1"/>
      <c r="C87" s="1" t="s">
        <v>10</v>
      </c>
      <c r="D87" s="7">
        <f t="shared" ref="D87:I87" si="12">SUM(D84:D85)</f>
        <v>7928.51</v>
      </c>
      <c r="E87" s="7">
        <f t="shared" si="12"/>
        <v>600.79</v>
      </c>
      <c r="F87" s="7">
        <f t="shared" si="12"/>
        <v>169.3</v>
      </c>
      <c r="G87" s="7">
        <f t="shared" si="12"/>
        <v>0</v>
      </c>
      <c r="H87" s="7">
        <f t="shared" si="12"/>
        <v>0</v>
      </c>
      <c r="I87" s="7">
        <f t="shared" si="12"/>
        <v>0</v>
      </c>
      <c r="J87" s="7">
        <f>SUM(D87:H87)</f>
        <v>8698.5999999999985</v>
      </c>
      <c r="K87" s="1"/>
      <c r="L87" s="1"/>
    </row>
    <row r="88" spans="1:12">
      <c r="A88" s="1"/>
      <c r="B88" s="1"/>
      <c r="C88" s="1"/>
      <c r="D88" s="7"/>
      <c r="E88" s="7"/>
      <c r="F88" s="7"/>
      <c r="G88" s="7"/>
      <c r="H88" s="7"/>
      <c r="I88" s="7"/>
      <c r="J88" s="7"/>
      <c r="K88" s="1"/>
      <c r="L88" s="1"/>
    </row>
    <row r="89" spans="1:12">
      <c r="A89" s="1"/>
      <c r="B89" s="1"/>
      <c r="C89" s="1"/>
      <c r="D89" s="7"/>
      <c r="E89" s="7"/>
      <c r="F89" s="7"/>
      <c r="G89" s="7"/>
      <c r="H89" s="7"/>
      <c r="I89" s="7"/>
      <c r="J89" s="7"/>
      <c r="K89" s="1"/>
      <c r="L89" s="1"/>
    </row>
    <row r="90" spans="1:12">
      <c r="A90" s="1">
        <v>34</v>
      </c>
      <c r="B90" s="1" t="s">
        <v>27</v>
      </c>
      <c r="C90" s="1" t="s">
        <v>12</v>
      </c>
      <c r="D90" s="7">
        <v>6455.35</v>
      </c>
      <c r="E90" s="7">
        <v>86.83</v>
      </c>
      <c r="F90" s="7">
        <v>78.13</v>
      </c>
      <c r="G90" s="7">
        <v>78.849999999999994</v>
      </c>
      <c r="H90" s="7">
        <v>67.27</v>
      </c>
      <c r="I90" s="7">
        <v>0</v>
      </c>
      <c r="J90" s="7">
        <f>SUM(D90:H90)</f>
        <v>6766.4300000000012</v>
      </c>
      <c r="K90" s="1"/>
      <c r="L90" s="1"/>
    </row>
    <row r="91" spans="1:12">
      <c r="A91" s="1"/>
      <c r="B91" s="1"/>
      <c r="C91" s="1" t="s">
        <v>13</v>
      </c>
      <c r="D91" s="7">
        <v>488.89</v>
      </c>
      <c r="E91" s="7">
        <v>6.24</v>
      </c>
      <c r="F91" s="7">
        <v>6.08</v>
      </c>
      <c r="G91" s="7">
        <v>4.0199999999999996</v>
      </c>
      <c r="H91" s="7">
        <v>3.18</v>
      </c>
      <c r="I91" s="7">
        <v>0</v>
      </c>
      <c r="J91" s="7">
        <f>SUM(D91:H91)</f>
        <v>508.40999999999997</v>
      </c>
      <c r="K91" s="1"/>
      <c r="L91" s="1"/>
    </row>
    <row r="92" spans="1:12">
      <c r="A92" s="1"/>
      <c r="B92" s="1"/>
      <c r="C92" s="1"/>
      <c r="D92" s="7"/>
      <c r="E92" s="7"/>
      <c r="F92" s="7"/>
      <c r="G92" s="7"/>
      <c r="H92" s="7"/>
      <c r="I92" s="7"/>
      <c r="J92" s="7"/>
      <c r="K92" s="1"/>
      <c r="L92" s="1"/>
    </row>
    <row r="93" spans="1:12">
      <c r="A93" s="1"/>
      <c r="B93" s="1"/>
      <c r="C93" s="1" t="s">
        <v>10</v>
      </c>
      <c r="D93" s="7">
        <f>SUM(D90:D91)</f>
        <v>6944.2400000000007</v>
      </c>
      <c r="E93" s="7">
        <f>SUM(E90:E91)</f>
        <v>93.07</v>
      </c>
      <c r="F93" s="7">
        <f>SUM(F90:F91)</f>
        <v>84.21</v>
      </c>
      <c r="G93" s="7">
        <f>SUM(G90:G91)</f>
        <v>82.86999999999999</v>
      </c>
      <c r="H93" s="7">
        <f>SUM(H90:H91)</f>
        <v>70.45</v>
      </c>
      <c r="I93" s="7">
        <v>0</v>
      </c>
      <c r="J93" s="7">
        <f>SUM(D93:H93)</f>
        <v>7274.84</v>
      </c>
      <c r="K93" s="1"/>
      <c r="L93" s="1"/>
    </row>
    <row r="94" spans="1:12">
      <c r="A94" s="1"/>
      <c r="B94" s="1"/>
      <c r="C94" s="1"/>
      <c r="D94" s="7"/>
      <c r="E94" s="7"/>
      <c r="F94" s="7"/>
      <c r="G94" s="7"/>
      <c r="H94" s="7"/>
      <c r="I94" s="7"/>
      <c r="J94" s="7"/>
      <c r="K94" s="1"/>
      <c r="L94" s="1"/>
    </row>
    <row r="95" spans="1:12">
      <c r="A95" s="1"/>
      <c r="B95" s="1"/>
      <c r="C95" s="1"/>
      <c r="D95" s="7"/>
      <c r="E95" s="7"/>
      <c r="F95" s="7"/>
      <c r="G95" s="7"/>
      <c r="H95" s="7"/>
      <c r="I95" s="7"/>
      <c r="J95" s="7"/>
      <c r="K95" s="1"/>
      <c r="L95" s="1"/>
    </row>
    <row r="96" spans="1:12">
      <c r="A96" s="1">
        <v>35</v>
      </c>
      <c r="B96" s="1" t="s">
        <v>28</v>
      </c>
      <c r="C96" s="1" t="s">
        <v>12</v>
      </c>
      <c r="D96" s="7">
        <v>6186.43</v>
      </c>
      <c r="E96" s="7">
        <v>178.01</v>
      </c>
      <c r="F96" s="7">
        <v>169.86</v>
      </c>
      <c r="G96" s="7">
        <v>20.23</v>
      </c>
      <c r="H96" s="7">
        <v>17.059999999999999</v>
      </c>
      <c r="I96" s="7">
        <v>0</v>
      </c>
      <c r="J96" s="7">
        <f>SUM(D96:H96)</f>
        <v>6571.59</v>
      </c>
      <c r="K96" s="1"/>
      <c r="L96" s="1"/>
    </row>
    <row r="97" spans="1:12">
      <c r="A97" s="1"/>
      <c r="B97" s="1"/>
      <c r="C97" s="1"/>
      <c r="D97" s="7"/>
      <c r="E97" s="7"/>
      <c r="F97" s="7"/>
      <c r="G97" s="7"/>
      <c r="H97" s="7" t="s">
        <v>70</v>
      </c>
      <c r="I97" s="7"/>
      <c r="J97" s="7">
        <f>SUM(D97:H97)</f>
        <v>0</v>
      </c>
      <c r="K97" s="1"/>
      <c r="L97" s="1"/>
    </row>
    <row r="98" spans="1:12">
      <c r="A98" s="1"/>
      <c r="B98" s="1"/>
      <c r="C98" s="1" t="s">
        <v>10</v>
      </c>
      <c r="D98" s="7">
        <f>SUM(D96:D97)</f>
        <v>6186.43</v>
      </c>
      <c r="E98" s="7">
        <f>SUM(E96:E97)</f>
        <v>178.01</v>
      </c>
      <c r="F98" s="7">
        <f>SUM(F96:F97)</f>
        <v>169.86</v>
      </c>
      <c r="G98" s="7">
        <f>SUM(G96:G97)</f>
        <v>20.23</v>
      </c>
      <c r="H98" s="7">
        <f>SUM(H96:H97)</f>
        <v>17.059999999999999</v>
      </c>
      <c r="I98" s="7">
        <v>0</v>
      </c>
      <c r="J98" s="7">
        <f>SUM(D98:H98)</f>
        <v>6571.59</v>
      </c>
      <c r="K98" s="1"/>
      <c r="L98" s="1"/>
    </row>
    <row r="99" spans="1:12">
      <c r="A99" s="1"/>
      <c r="B99" s="1"/>
      <c r="C99" s="1"/>
      <c r="D99" s="7"/>
      <c r="E99" s="7"/>
      <c r="F99" s="7"/>
      <c r="G99" s="7"/>
      <c r="H99" s="7"/>
      <c r="I99" s="7"/>
      <c r="J99" s="7"/>
      <c r="K99" s="1"/>
      <c r="L99" s="1"/>
    </row>
    <row r="100" spans="1:12">
      <c r="A100" s="1"/>
      <c r="B100" s="1"/>
      <c r="C100" s="1"/>
      <c r="D100" s="7"/>
      <c r="E100" s="7"/>
      <c r="F100" s="7"/>
      <c r="G100" s="7"/>
      <c r="H100" s="7"/>
      <c r="I100" s="7"/>
      <c r="J100" s="7"/>
      <c r="K100" s="1"/>
      <c r="L100" s="1"/>
    </row>
    <row r="101" spans="1:12">
      <c r="A101" s="1">
        <v>36</v>
      </c>
      <c r="B101" s="1" t="s">
        <v>29</v>
      </c>
      <c r="C101" s="1" t="s">
        <v>12</v>
      </c>
      <c r="D101" s="7">
        <v>5598.01</v>
      </c>
      <c r="E101" s="7">
        <v>377.27</v>
      </c>
      <c r="F101" s="7">
        <v>69.7</v>
      </c>
      <c r="G101" s="7">
        <v>0</v>
      </c>
      <c r="H101" s="7">
        <v>0</v>
      </c>
      <c r="I101" s="7">
        <v>0</v>
      </c>
      <c r="J101" s="7">
        <f>SUM(D101:H101)</f>
        <v>6044.9800000000005</v>
      </c>
      <c r="K101" s="1"/>
      <c r="L101" s="1"/>
    </row>
    <row r="102" spans="1:12">
      <c r="A102" s="1"/>
      <c r="B102" s="1"/>
      <c r="C102" s="1" t="s">
        <v>13</v>
      </c>
      <c r="D102" s="7">
        <v>312.22000000000003</v>
      </c>
      <c r="E102" s="7">
        <v>18.88</v>
      </c>
      <c r="F102" s="7">
        <v>3.86</v>
      </c>
      <c r="G102" s="7">
        <v>0</v>
      </c>
      <c r="H102" s="7">
        <v>0</v>
      </c>
      <c r="I102" s="7">
        <v>0</v>
      </c>
      <c r="J102" s="7">
        <f>SUM(D102:H102)</f>
        <v>334.96000000000004</v>
      </c>
      <c r="K102" s="1"/>
      <c r="L102" s="1"/>
    </row>
    <row r="103" spans="1:12">
      <c r="A103" s="1"/>
      <c r="B103" s="1"/>
      <c r="C103" s="1"/>
      <c r="D103" s="7"/>
      <c r="E103" s="7"/>
      <c r="F103" s="7"/>
      <c r="G103" s="7"/>
      <c r="H103" s="7"/>
      <c r="I103" s="7"/>
      <c r="J103" s="7"/>
      <c r="K103" s="1"/>
      <c r="L103" s="1"/>
    </row>
    <row r="104" spans="1:12">
      <c r="A104" s="1"/>
      <c r="B104" s="1"/>
      <c r="C104" s="1" t="s">
        <v>10</v>
      </c>
      <c r="D104" s="7">
        <f t="shared" ref="D104:I104" si="13">SUM(D101:D102)</f>
        <v>5910.2300000000005</v>
      </c>
      <c r="E104" s="7">
        <f t="shared" si="13"/>
        <v>396.15</v>
      </c>
      <c r="F104" s="7">
        <f t="shared" si="13"/>
        <v>73.56</v>
      </c>
      <c r="G104" s="7">
        <f t="shared" si="13"/>
        <v>0</v>
      </c>
      <c r="H104" s="7">
        <f t="shared" si="13"/>
        <v>0</v>
      </c>
      <c r="I104" s="7">
        <f t="shared" si="13"/>
        <v>0</v>
      </c>
      <c r="J104" s="7">
        <f>SUM(D104:H104)</f>
        <v>6379.9400000000005</v>
      </c>
      <c r="K104" s="1"/>
      <c r="L104" s="1"/>
    </row>
    <row r="105" spans="1:12">
      <c r="A105" s="1"/>
      <c r="B105" s="1"/>
      <c r="C105" s="1"/>
      <c r="D105" s="7"/>
      <c r="E105" s="7"/>
      <c r="F105" s="7"/>
      <c r="G105" s="7"/>
      <c r="H105" s="7"/>
      <c r="I105" s="7"/>
      <c r="J105" s="7"/>
      <c r="K105" s="1"/>
      <c r="L105" s="1"/>
    </row>
    <row r="106" spans="1:12">
      <c r="A106" s="1"/>
      <c r="B106" s="1"/>
      <c r="C106" s="1"/>
      <c r="D106" s="7"/>
      <c r="E106" s="7"/>
      <c r="F106" s="7"/>
      <c r="G106" s="7"/>
      <c r="H106" s="7"/>
      <c r="I106" s="7"/>
      <c r="J106" s="7"/>
      <c r="K106" s="1"/>
      <c r="L106" s="1"/>
    </row>
    <row r="107" spans="1:12">
      <c r="A107" s="1">
        <v>37</v>
      </c>
      <c r="B107" s="1" t="s">
        <v>30</v>
      </c>
      <c r="C107" s="1" t="s">
        <v>12</v>
      </c>
      <c r="D107" s="7">
        <v>6386.83</v>
      </c>
      <c r="E107" s="7">
        <v>55.95</v>
      </c>
      <c r="F107" s="7">
        <v>35.68</v>
      </c>
      <c r="G107" s="7">
        <v>30.28</v>
      </c>
      <c r="H107" s="7">
        <v>3.95</v>
      </c>
      <c r="I107" s="7">
        <v>0</v>
      </c>
      <c r="J107" s="7">
        <f>SUM(D107:H107)</f>
        <v>6512.69</v>
      </c>
      <c r="K107" s="1"/>
      <c r="L107" s="1"/>
    </row>
    <row r="108" spans="1:12">
      <c r="A108" s="1"/>
      <c r="B108" s="1"/>
      <c r="C108" s="1"/>
      <c r="D108" s="7"/>
      <c r="E108" s="7"/>
      <c r="F108" s="7"/>
      <c r="G108" s="7"/>
      <c r="H108" s="7"/>
      <c r="I108" s="7"/>
      <c r="J108" s="7">
        <f>SUM(D108:H108)</f>
        <v>0</v>
      </c>
      <c r="K108" s="1"/>
      <c r="L108" s="1"/>
    </row>
    <row r="109" spans="1:12">
      <c r="A109" s="1"/>
      <c r="B109" s="1"/>
      <c r="C109" s="1" t="s">
        <v>10</v>
      </c>
      <c r="D109" s="7">
        <f>SUM(D107:D108)</f>
        <v>6386.83</v>
      </c>
      <c r="E109" s="7">
        <f>SUM(E107:E108)</f>
        <v>55.95</v>
      </c>
      <c r="F109" s="7">
        <f>SUM(F107:F108)</f>
        <v>35.68</v>
      </c>
      <c r="G109" s="7">
        <f>SUM(G107:G108)</f>
        <v>30.28</v>
      </c>
      <c r="H109" s="7">
        <f>SUM(H107:H108)</f>
        <v>3.95</v>
      </c>
      <c r="I109" s="7">
        <v>0</v>
      </c>
      <c r="J109" s="7">
        <f>SUM(D109:H109)</f>
        <v>6512.69</v>
      </c>
      <c r="K109" s="1"/>
      <c r="L109" s="1"/>
    </row>
    <row r="110" spans="1:12">
      <c r="A110" s="1"/>
      <c r="B110" s="1"/>
      <c r="C110" s="1"/>
      <c r="D110" s="7"/>
      <c r="E110" s="7"/>
      <c r="F110" s="7"/>
      <c r="G110" s="7"/>
      <c r="H110" s="7" t="s">
        <v>70</v>
      </c>
      <c r="I110" s="7"/>
      <c r="J110" s="7"/>
      <c r="K110" s="1"/>
      <c r="L110" s="1"/>
    </row>
    <row r="111" spans="1:12">
      <c r="A111" s="1"/>
      <c r="B111" s="1"/>
      <c r="C111" s="1"/>
      <c r="D111" s="7"/>
      <c r="E111" s="7"/>
      <c r="F111" s="7"/>
      <c r="G111" s="7"/>
      <c r="H111" s="7"/>
      <c r="I111" s="7"/>
      <c r="J111" s="7"/>
      <c r="K111" s="1"/>
      <c r="L111" s="1"/>
    </row>
    <row r="112" spans="1:12">
      <c r="A112" s="1">
        <v>38</v>
      </c>
      <c r="B112" s="1" t="s">
        <v>31</v>
      </c>
      <c r="C112" s="1" t="s">
        <v>12</v>
      </c>
      <c r="D112" s="7">
        <v>9709.56</v>
      </c>
      <c r="E112" s="7">
        <v>251.03</v>
      </c>
      <c r="F112" s="7">
        <v>229.82</v>
      </c>
      <c r="G112" s="7">
        <v>239.26</v>
      </c>
      <c r="H112" s="7">
        <v>99.63</v>
      </c>
      <c r="I112" s="7">
        <v>0</v>
      </c>
      <c r="J112" s="7">
        <f>SUM(D112:H112)</f>
        <v>10529.3</v>
      </c>
      <c r="K112" s="1"/>
      <c r="L112" s="1"/>
    </row>
    <row r="113" spans="1:12">
      <c r="A113" s="1"/>
      <c r="B113" s="1"/>
      <c r="C113" s="1" t="s">
        <v>13</v>
      </c>
      <c r="D113" s="7">
        <v>796.17</v>
      </c>
      <c r="E113" s="7">
        <v>20.68</v>
      </c>
      <c r="F113" s="7">
        <v>20.39</v>
      </c>
      <c r="G113" s="7">
        <v>14.19</v>
      </c>
      <c r="H113" s="7">
        <v>6.33</v>
      </c>
      <c r="I113" s="7">
        <v>0</v>
      </c>
      <c r="J113" s="7">
        <f>SUM(D113:H113)</f>
        <v>857.76</v>
      </c>
      <c r="K113" s="1"/>
      <c r="L113" s="1"/>
    </row>
    <row r="114" spans="1:12">
      <c r="A114" s="1"/>
      <c r="B114" s="1"/>
      <c r="C114" s="1" t="s">
        <v>78</v>
      </c>
      <c r="D114" s="7">
        <v>1592.16</v>
      </c>
      <c r="E114" s="7"/>
      <c r="F114" s="7"/>
      <c r="G114" s="7"/>
      <c r="H114" s="7"/>
      <c r="I114" s="7"/>
      <c r="J114" s="7"/>
      <c r="K114" s="1"/>
      <c r="L114" s="1"/>
    </row>
    <row r="115" spans="1:12">
      <c r="A115" s="1"/>
      <c r="B115" s="1"/>
      <c r="C115" s="1"/>
      <c r="D115" s="7"/>
      <c r="E115" s="7"/>
      <c r="F115" s="7"/>
      <c r="G115" s="7"/>
      <c r="H115" s="7"/>
      <c r="I115" s="7"/>
      <c r="J115" s="7"/>
      <c r="K115" s="1"/>
      <c r="L115" s="1"/>
    </row>
    <row r="116" spans="1:12">
      <c r="A116" s="1"/>
      <c r="B116" s="1"/>
      <c r="C116" s="1" t="s">
        <v>10</v>
      </c>
      <c r="D116" s="7">
        <f>SUM(D112:D114)</f>
        <v>12097.89</v>
      </c>
      <c r="E116" s="7">
        <f>SUM(E112:E114)</f>
        <v>271.70999999999998</v>
      </c>
      <c r="F116" s="7">
        <f>SUM(F112:F114)</f>
        <v>250.20999999999998</v>
      </c>
      <c r="G116" s="7">
        <f>SUM(G112:G114)</f>
        <v>253.45</v>
      </c>
      <c r="H116" s="7">
        <f>SUM(H112:H114)</f>
        <v>105.96</v>
      </c>
      <c r="I116" s="7">
        <v>0</v>
      </c>
      <c r="J116" s="7">
        <f>SUM(D116:H116)</f>
        <v>12979.219999999998</v>
      </c>
      <c r="K116" s="1"/>
      <c r="L116" s="1"/>
    </row>
    <row r="117" spans="1:12">
      <c r="A117" s="1"/>
      <c r="B117" s="1"/>
      <c r="C117" s="1"/>
      <c r="D117" s="7"/>
      <c r="E117" s="7"/>
      <c r="F117" s="7"/>
      <c r="G117" s="7"/>
      <c r="H117" s="7"/>
      <c r="I117" s="7"/>
      <c r="J117" s="7"/>
      <c r="K117" s="1"/>
      <c r="L117" s="1"/>
    </row>
    <row r="118" spans="1:12">
      <c r="A118" s="1">
        <v>39</v>
      </c>
      <c r="B118" s="1" t="s">
        <v>32</v>
      </c>
      <c r="C118" s="1" t="s">
        <v>12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f>SUM(D118:H118)</f>
        <v>0</v>
      </c>
      <c r="K118" s="1"/>
      <c r="L118" s="1"/>
    </row>
    <row r="119" spans="1:12">
      <c r="A119" s="1"/>
      <c r="B119" s="1"/>
      <c r="C119" s="1"/>
      <c r="D119" s="7"/>
      <c r="E119" s="7"/>
      <c r="F119" s="7"/>
      <c r="G119" s="7"/>
      <c r="H119" s="7"/>
      <c r="I119" s="7"/>
      <c r="J119" s="7">
        <f>SUM(D119:H119)</f>
        <v>0</v>
      </c>
      <c r="K119" s="1"/>
      <c r="L119" s="1"/>
    </row>
    <row r="120" spans="1:12">
      <c r="A120" s="1"/>
      <c r="B120" s="1"/>
      <c r="C120" s="1" t="s">
        <v>10</v>
      </c>
      <c r="D120" s="7"/>
      <c r="E120" s="7"/>
      <c r="F120" s="7"/>
      <c r="G120" s="7"/>
      <c r="H120" s="7"/>
      <c r="I120" s="7"/>
      <c r="J120" s="7">
        <f>SUM(D120:H120)</f>
        <v>0</v>
      </c>
      <c r="K120" s="1"/>
      <c r="L120" s="1"/>
    </row>
    <row r="121" spans="1:12">
      <c r="A121" s="1"/>
      <c r="B121" s="1"/>
      <c r="C121" s="1"/>
      <c r="D121" s="7"/>
      <c r="E121" s="7"/>
      <c r="F121" s="7"/>
      <c r="G121" s="7"/>
      <c r="H121" s="7"/>
      <c r="I121" s="7"/>
      <c r="J121" s="7"/>
      <c r="K121" s="1"/>
      <c r="L121" s="1"/>
    </row>
    <row r="122" spans="1:12">
      <c r="A122" s="1"/>
      <c r="B122" s="1"/>
      <c r="C122" s="1"/>
      <c r="D122" s="7"/>
      <c r="E122" s="7"/>
      <c r="F122" s="7"/>
      <c r="G122" s="7"/>
      <c r="H122" s="7"/>
      <c r="I122" s="7"/>
      <c r="J122" s="7"/>
      <c r="K122" s="1"/>
      <c r="L122" s="1"/>
    </row>
    <row r="123" spans="1:12">
      <c r="A123" s="1">
        <v>40</v>
      </c>
      <c r="B123" s="1" t="s">
        <v>33</v>
      </c>
      <c r="C123" s="1" t="s">
        <v>12</v>
      </c>
      <c r="D123" s="7">
        <v>7988.4</v>
      </c>
      <c r="E123" s="7">
        <v>334.63</v>
      </c>
      <c r="F123" s="7">
        <v>322.85000000000002</v>
      </c>
      <c r="G123" s="7">
        <v>0</v>
      </c>
      <c r="H123" s="7">
        <v>0</v>
      </c>
      <c r="I123" s="7">
        <v>0</v>
      </c>
      <c r="J123" s="7">
        <f>SUM(D123:H123)</f>
        <v>8645.8799999999992</v>
      </c>
      <c r="K123" s="1"/>
      <c r="L123" s="1"/>
    </row>
    <row r="124" spans="1:12">
      <c r="A124" s="1"/>
      <c r="B124" s="1"/>
      <c r="C124" s="1"/>
      <c r="D124" s="7"/>
      <c r="E124" s="7"/>
      <c r="F124" s="7"/>
      <c r="G124" s="7"/>
      <c r="H124" s="7"/>
      <c r="I124" s="7"/>
      <c r="J124" s="7">
        <f>SUM(D124:H124)</f>
        <v>0</v>
      </c>
      <c r="K124" s="1"/>
      <c r="L124" s="1"/>
    </row>
    <row r="125" spans="1:12">
      <c r="A125" s="1"/>
      <c r="B125" s="1"/>
      <c r="C125" s="1" t="s">
        <v>10</v>
      </c>
      <c r="D125" s="7">
        <f t="shared" ref="D125:I125" si="14">SUM(D123:D124)</f>
        <v>7988.4</v>
      </c>
      <c r="E125" s="7">
        <f t="shared" si="14"/>
        <v>334.63</v>
      </c>
      <c r="F125" s="7">
        <f t="shared" si="14"/>
        <v>322.85000000000002</v>
      </c>
      <c r="G125" s="7">
        <f t="shared" si="14"/>
        <v>0</v>
      </c>
      <c r="H125" s="7">
        <f t="shared" si="14"/>
        <v>0</v>
      </c>
      <c r="I125" s="7">
        <f t="shared" si="14"/>
        <v>0</v>
      </c>
      <c r="J125" s="7">
        <f>SUM(D125:H125)</f>
        <v>8645.8799999999992</v>
      </c>
      <c r="K125" s="1"/>
      <c r="L125" s="1"/>
    </row>
    <row r="126" spans="1:12">
      <c r="A126" s="1"/>
      <c r="B126" s="1"/>
      <c r="C126" s="1"/>
      <c r="D126" s="7"/>
      <c r="E126" s="7"/>
      <c r="F126" s="7"/>
      <c r="G126" s="7"/>
      <c r="H126" s="7"/>
      <c r="I126" s="7"/>
      <c r="J126" s="7"/>
      <c r="K126" s="1"/>
      <c r="L126" s="1"/>
    </row>
    <row r="127" spans="1:12">
      <c r="A127" s="1"/>
      <c r="B127" s="1"/>
      <c r="C127" s="1"/>
      <c r="D127" s="7"/>
      <c r="E127" s="7"/>
      <c r="F127" s="7"/>
      <c r="G127" s="7"/>
      <c r="H127" s="7"/>
      <c r="I127" s="7"/>
      <c r="J127" s="7"/>
      <c r="K127" s="1"/>
      <c r="L127" s="1"/>
    </row>
    <row r="128" spans="1:12">
      <c r="A128" s="1">
        <v>41</v>
      </c>
      <c r="B128" s="1" t="s">
        <v>34</v>
      </c>
      <c r="C128" s="1" t="s">
        <v>12</v>
      </c>
      <c r="D128" s="7">
        <v>6935.82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f>SUM(D128:H128)</f>
        <v>6935.82</v>
      </c>
      <c r="K128" s="1"/>
      <c r="L128" s="1"/>
    </row>
    <row r="129" spans="1:12">
      <c r="A129" s="1"/>
      <c r="B129" s="1"/>
      <c r="C129" s="1" t="s">
        <v>35</v>
      </c>
      <c r="D129" s="7">
        <v>313.95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f>SUM(D129:H129)</f>
        <v>313.95</v>
      </c>
      <c r="K129" s="1"/>
      <c r="L129" s="1"/>
    </row>
    <row r="130" spans="1:12">
      <c r="A130" s="1"/>
      <c r="B130" s="1"/>
      <c r="C130" s="1"/>
      <c r="D130" s="7"/>
      <c r="E130" s="7"/>
      <c r="F130" s="7"/>
      <c r="G130" s="7"/>
      <c r="H130" s="7"/>
      <c r="I130" s="7"/>
      <c r="J130" s="7"/>
      <c r="K130" s="1"/>
      <c r="L130" s="1"/>
    </row>
    <row r="131" spans="1:12">
      <c r="A131" s="1"/>
      <c r="B131" s="1"/>
      <c r="C131" s="1" t="s">
        <v>10</v>
      </c>
      <c r="D131" s="7">
        <f t="shared" ref="D131:I131" si="15">SUM(D128:D129)</f>
        <v>7249.7699999999995</v>
      </c>
      <c r="E131" s="7">
        <f t="shared" si="15"/>
        <v>0</v>
      </c>
      <c r="F131" s="7">
        <f t="shared" si="15"/>
        <v>0</v>
      </c>
      <c r="G131" s="7">
        <f t="shared" si="15"/>
        <v>0</v>
      </c>
      <c r="H131" s="7">
        <f t="shared" si="15"/>
        <v>0</v>
      </c>
      <c r="I131" s="7">
        <f t="shared" si="15"/>
        <v>0</v>
      </c>
      <c r="J131" s="7">
        <f>SUM(D131:H131)</f>
        <v>7249.7699999999995</v>
      </c>
      <c r="K131" s="1"/>
      <c r="L131" s="1"/>
    </row>
    <row r="132" spans="1:12">
      <c r="A132" s="1"/>
      <c r="B132" s="1"/>
      <c r="C132" s="1"/>
      <c r="D132" s="7"/>
      <c r="E132" s="7"/>
      <c r="F132" s="7"/>
      <c r="G132" s="7"/>
      <c r="H132" s="7"/>
      <c r="I132" s="7"/>
      <c r="J132" s="7"/>
      <c r="K132" s="1"/>
      <c r="L132" s="1"/>
    </row>
    <row r="133" spans="1:12">
      <c r="A133" s="1"/>
      <c r="B133" s="1"/>
      <c r="C133" s="1"/>
      <c r="D133" s="7"/>
      <c r="E133" s="7"/>
      <c r="F133" s="7"/>
      <c r="G133" s="7"/>
      <c r="H133" s="7"/>
      <c r="I133" s="7"/>
      <c r="J133" s="7"/>
      <c r="K133" s="1"/>
      <c r="L133" s="1"/>
    </row>
    <row r="134" spans="1:12">
      <c r="A134" s="1">
        <v>42</v>
      </c>
      <c r="B134" s="1" t="s">
        <v>36</v>
      </c>
      <c r="C134" s="1" t="s">
        <v>12</v>
      </c>
      <c r="D134" s="7">
        <v>4971.79</v>
      </c>
      <c r="E134" s="7">
        <v>8.77</v>
      </c>
      <c r="F134" s="7">
        <v>0</v>
      </c>
      <c r="G134" s="7">
        <v>0</v>
      </c>
      <c r="H134" s="7">
        <v>0</v>
      </c>
      <c r="I134" s="7">
        <v>0</v>
      </c>
      <c r="J134" s="7">
        <f>SUM(D134:H134)</f>
        <v>4980.5600000000004</v>
      </c>
      <c r="K134" s="1"/>
      <c r="L134" s="1"/>
    </row>
    <row r="135" spans="1:12">
      <c r="A135" s="1"/>
      <c r="B135" s="1"/>
      <c r="C135" s="1" t="s">
        <v>13</v>
      </c>
      <c r="D135" s="7">
        <v>257.05</v>
      </c>
      <c r="E135" s="7">
        <v>0.51</v>
      </c>
      <c r="F135" s="7">
        <v>0</v>
      </c>
      <c r="G135" s="7">
        <v>0</v>
      </c>
      <c r="H135" s="7">
        <v>0</v>
      </c>
      <c r="I135" s="7">
        <v>0</v>
      </c>
      <c r="J135" s="7">
        <f>SUM(D135:H135)</f>
        <v>257.56</v>
      </c>
      <c r="K135" s="1"/>
      <c r="L135" s="1"/>
    </row>
    <row r="136" spans="1:12">
      <c r="A136" s="1"/>
      <c r="B136" s="1"/>
      <c r="C136" s="1"/>
      <c r="D136" s="7"/>
      <c r="E136" s="7"/>
      <c r="F136" s="7"/>
      <c r="G136" s="7"/>
      <c r="H136" s="7"/>
      <c r="I136" s="7"/>
      <c r="J136" s="7"/>
      <c r="K136" s="1"/>
      <c r="L136" s="1"/>
    </row>
    <row r="137" spans="1:12">
      <c r="A137" s="1"/>
      <c r="B137" s="1"/>
      <c r="C137" s="1" t="s">
        <v>10</v>
      </c>
      <c r="D137" s="7">
        <f t="shared" ref="D137:I137" si="16">SUM(D134:D135)</f>
        <v>5228.84</v>
      </c>
      <c r="E137" s="7">
        <f t="shared" si="16"/>
        <v>9.2799999999999994</v>
      </c>
      <c r="F137" s="7">
        <f t="shared" si="16"/>
        <v>0</v>
      </c>
      <c r="G137" s="7">
        <f t="shared" si="16"/>
        <v>0</v>
      </c>
      <c r="H137" s="7">
        <f t="shared" si="16"/>
        <v>0</v>
      </c>
      <c r="I137" s="7">
        <f t="shared" si="16"/>
        <v>0</v>
      </c>
      <c r="J137" s="7">
        <f>SUM(D137:H137)</f>
        <v>5238.12</v>
      </c>
      <c r="K137" s="1"/>
      <c r="L137" s="1"/>
    </row>
    <row r="138" spans="1:12">
      <c r="A138" s="1"/>
      <c r="B138" s="1"/>
      <c r="C138" s="1"/>
      <c r="D138" s="7"/>
      <c r="E138" s="7"/>
      <c r="F138" s="7"/>
      <c r="G138" s="7"/>
      <c r="H138" s="7"/>
      <c r="I138" s="7"/>
      <c r="J138" s="7"/>
      <c r="K138" s="1"/>
      <c r="L138" s="1"/>
    </row>
    <row r="139" spans="1:12">
      <c r="A139" s="1"/>
      <c r="B139" s="1"/>
      <c r="C139" s="1"/>
      <c r="D139" s="7"/>
      <c r="E139" s="7"/>
      <c r="F139" s="7"/>
      <c r="G139" s="7"/>
      <c r="H139" s="7"/>
      <c r="I139" s="7"/>
      <c r="J139" s="7"/>
      <c r="K139" s="1"/>
      <c r="L139" s="1"/>
    </row>
    <row r="140" spans="1:12">
      <c r="A140" s="1">
        <v>43</v>
      </c>
      <c r="B140" s="1" t="s">
        <v>37</v>
      </c>
      <c r="C140" s="1" t="s">
        <v>12</v>
      </c>
      <c r="D140" s="7">
        <v>5336.77</v>
      </c>
      <c r="E140" s="7">
        <v>25.44</v>
      </c>
      <c r="F140" s="7">
        <v>0</v>
      </c>
      <c r="G140" s="7">
        <v>0</v>
      </c>
      <c r="H140" s="7">
        <v>0</v>
      </c>
      <c r="I140" s="7">
        <v>0</v>
      </c>
      <c r="J140" s="7">
        <f>SUM(D140:H140)</f>
        <v>5362.21</v>
      </c>
      <c r="K140" s="1"/>
      <c r="L140" s="1"/>
    </row>
    <row r="141" spans="1:12">
      <c r="A141" s="1"/>
      <c r="B141" s="1"/>
      <c r="C141" s="1" t="s">
        <v>35</v>
      </c>
      <c r="D141" s="7">
        <v>254.83</v>
      </c>
      <c r="E141" s="7">
        <v>1.39</v>
      </c>
      <c r="F141" s="7"/>
      <c r="G141" s="7"/>
      <c r="H141" s="7"/>
      <c r="I141" s="7"/>
      <c r="J141" s="7">
        <f>SUM(D141:H141)</f>
        <v>256.22000000000003</v>
      </c>
      <c r="K141" s="1"/>
      <c r="L141" s="1"/>
    </row>
    <row r="142" spans="1:12">
      <c r="A142" s="1"/>
      <c r="B142" s="1"/>
      <c r="C142" s="1" t="s">
        <v>13</v>
      </c>
      <c r="D142" s="7">
        <v>347.97</v>
      </c>
      <c r="E142" s="7">
        <v>1.62</v>
      </c>
      <c r="F142" s="7">
        <v>0</v>
      </c>
      <c r="G142" s="7">
        <v>0</v>
      </c>
      <c r="H142" s="7">
        <v>0</v>
      </c>
      <c r="I142" s="7">
        <v>0</v>
      </c>
      <c r="J142" s="7">
        <f>SUM(D142:H142)</f>
        <v>349.59000000000003</v>
      </c>
      <c r="K142" s="1"/>
      <c r="L142" s="1"/>
    </row>
    <row r="143" spans="1:12">
      <c r="A143" s="1"/>
      <c r="B143" s="1"/>
      <c r="C143" s="1"/>
      <c r="D143" s="7"/>
      <c r="E143" s="7"/>
      <c r="F143" s="7"/>
      <c r="G143" s="7"/>
      <c r="H143" s="7"/>
      <c r="I143" s="7"/>
      <c r="J143" s="7"/>
      <c r="K143" s="1"/>
      <c r="L143" s="1"/>
    </row>
    <row r="144" spans="1:12">
      <c r="A144" s="1"/>
      <c r="B144" s="1"/>
      <c r="C144" s="1" t="s">
        <v>10</v>
      </c>
      <c r="D144" s="7">
        <f t="shared" ref="D144:I144" si="17">SUM(D140:D142)</f>
        <v>5939.5700000000006</v>
      </c>
      <c r="E144" s="7">
        <f t="shared" si="17"/>
        <v>28.450000000000003</v>
      </c>
      <c r="F144" s="7">
        <f t="shared" si="17"/>
        <v>0</v>
      </c>
      <c r="G144" s="7">
        <f t="shared" si="17"/>
        <v>0</v>
      </c>
      <c r="H144" s="7">
        <f t="shared" si="17"/>
        <v>0</v>
      </c>
      <c r="I144" s="7">
        <f t="shared" si="17"/>
        <v>0</v>
      </c>
      <c r="J144" s="7">
        <f>SUM(D144:H144)</f>
        <v>5968.02</v>
      </c>
      <c r="K144" s="1"/>
      <c r="L144" s="1"/>
    </row>
    <row r="145" spans="1:12">
      <c r="A145" s="1"/>
      <c r="B145" s="1"/>
      <c r="C145" s="1"/>
      <c r="D145" s="7"/>
      <c r="E145" s="7"/>
      <c r="F145" s="7"/>
      <c r="G145" s="7"/>
      <c r="H145" s="7"/>
      <c r="I145" s="7"/>
      <c r="J145" s="7"/>
      <c r="K145" s="1"/>
      <c r="L145" s="1"/>
    </row>
    <row r="146" spans="1:12">
      <c r="A146" s="1"/>
      <c r="B146" s="1"/>
      <c r="C146" s="1"/>
      <c r="D146" s="7"/>
      <c r="E146" s="7"/>
      <c r="F146" s="7"/>
      <c r="G146" s="7"/>
      <c r="H146" s="7"/>
      <c r="I146" s="7"/>
      <c r="J146" s="7"/>
      <c r="K146" s="1"/>
      <c r="L146" s="1"/>
    </row>
    <row r="147" spans="1:12">
      <c r="A147" s="1">
        <v>44</v>
      </c>
      <c r="B147" s="1" t="s">
        <v>38</v>
      </c>
      <c r="C147" s="1" t="s">
        <v>12</v>
      </c>
      <c r="D147" s="7">
        <v>8760.25</v>
      </c>
      <c r="E147" s="7">
        <v>254.95</v>
      </c>
      <c r="F147" s="7">
        <v>215.7</v>
      </c>
      <c r="G147" s="7">
        <v>202.25</v>
      </c>
      <c r="H147" s="7">
        <v>145.56</v>
      </c>
      <c r="I147" s="7">
        <v>0</v>
      </c>
      <c r="J147" s="7">
        <f>SUM(D147:H147)</f>
        <v>9578.7100000000009</v>
      </c>
      <c r="K147" s="1"/>
      <c r="L147" s="1"/>
    </row>
    <row r="148" spans="1:12">
      <c r="A148" s="1"/>
      <c r="B148" s="1"/>
      <c r="C148" s="1"/>
      <c r="D148" s="7"/>
      <c r="E148" s="7"/>
      <c r="F148" s="7"/>
      <c r="G148" s="7"/>
      <c r="H148" s="7"/>
      <c r="I148" s="7"/>
      <c r="J148" s="7">
        <f>SUM(D148:H148)</f>
        <v>0</v>
      </c>
      <c r="K148" s="1"/>
      <c r="L148" s="1"/>
    </row>
    <row r="149" spans="1:12">
      <c r="A149" s="1"/>
      <c r="B149" s="1"/>
      <c r="C149" s="1" t="s">
        <v>10</v>
      </c>
      <c r="D149" s="7">
        <f>SUM(D147:D148)</f>
        <v>8760.25</v>
      </c>
      <c r="E149" s="7">
        <f>SUM(E147:E148)</f>
        <v>254.95</v>
      </c>
      <c r="F149" s="7">
        <f>SUM(F147:F148)</f>
        <v>215.7</v>
      </c>
      <c r="G149" s="7">
        <f>SUM(G147:G148)</f>
        <v>202.25</v>
      </c>
      <c r="H149" s="7">
        <f>SUM(H147:H148)</f>
        <v>145.56</v>
      </c>
      <c r="I149" s="7">
        <v>0</v>
      </c>
      <c r="J149" s="7">
        <f>SUM(D149:H149)</f>
        <v>9578.7100000000009</v>
      </c>
      <c r="K149" s="1"/>
      <c r="L149" s="1"/>
    </row>
    <row r="150" spans="1:12">
      <c r="A150" s="1"/>
      <c r="B150" s="1"/>
      <c r="C150" s="1"/>
      <c r="D150" s="7" t="s">
        <v>70</v>
      </c>
      <c r="E150" s="7" t="s">
        <v>70</v>
      </c>
      <c r="F150" s="7" t="s">
        <v>70</v>
      </c>
      <c r="G150" s="7" t="s">
        <v>70</v>
      </c>
      <c r="H150" s="7" t="s">
        <v>70</v>
      </c>
      <c r="I150" s="7"/>
      <c r="J150" s="7"/>
      <c r="K150" s="1"/>
      <c r="L150" s="1"/>
    </row>
    <row r="151" spans="1:12">
      <c r="A151" s="1"/>
      <c r="B151" s="1"/>
      <c r="C151" s="1"/>
      <c r="D151" s="7"/>
      <c r="E151" s="7"/>
      <c r="F151" s="7"/>
      <c r="G151" s="7"/>
      <c r="H151" s="7"/>
      <c r="I151" s="7"/>
      <c r="J151" s="7"/>
      <c r="K151" s="1"/>
      <c r="L151" s="1"/>
    </row>
    <row r="152" spans="1:12">
      <c r="A152" s="1">
        <v>45</v>
      </c>
      <c r="B152" s="1" t="s">
        <v>39</v>
      </c>
      <c r="C152" s="1" t="s">
        <v>12</v>
      </c>
      <c r="D152" s="7">
        <v>5849.35</v>
      </c>
      <c r="E152" s="7">
        <v>52.35</v>
      </c>
      <c r="F152" s="7">
        <v>11.29</v>
      </c>
      <c r="G152" s="7">
        <v>11.18</v>
      </c>
      <c r="H152" s="7">
        <v>0.23</v>
      </c>
      <c r="I152" s="7">
        <v>0</v>
      </c>
      <c r="J152" s="7">
        <f>SUM(D152:H152)</f>
        <v>5924.4000000000005</v>
      </c>
      <c r="K152" s="1"/>
      <c r="L152" s="1"/>
    </row>
    <row r="153" spans="1:12">
      <c r="A153" s="1"/>
      <c r="B153" s="1"/>
      <c r="C153" s="1"/>
      <c r="D153" s="7"/>
      <c r="E153" s="7"/>
      <c r="F153" s="7"/>
      <c r="G153" s="7"/>
      <c r="H153" s="7"/>
      <c r="I153" s="7"/>
      <c r="J153" s="7">
        <f>SUM(D153:H153)</f>
        <v>0</v>
      </c>
      <c r="K153" s="1"/>
      <c r="L153" s="1"/>
    </row>
    <row r="154" spans="1:12">
      <c r="A154" s="1"/>
      <c r="B154" s="1"/>
      <c r="C154" s="1" t="s">
        <v>10</v>
      </c>
      <c r="D154" s="7">
        <f>SUM(D152:D153)</f>
        <v>5849.35</v>
      </c>
      <c r="E154" s="7">
        <f>SUM(E152:E153)</f>
        <v>52.35</v>
      </c>
      <c r="F154" s="7">
        <f>SUM(F152:F153)</f>
        <v>11.29</v>
      </c>
      <c r="G154" s="7">
        <f>SUM(G152:G153)</f>
        <v>11.18</v>
      </c>
      <c r="H154" s="7">
        <f>SUM(H152:H153)</f>
        <v>0.23</v>
      </c>
      <c r="I154" s="7">
        <v>0</v>
      </c>
      <c r="J154" s="7">
        <f>SUM(D154:H154)</f>
        <v>5924.4000000000005</v>
      </c>
      <c r="K154" s="1"/>
      <c r="L154" s="1"/>
    </row>
    <row r="155" spans="1:12">
      <c r="A155" s="1"/>
      <c r="B155" s="1"/>
      <c r="C155" s="1"/>
      <c r="D155" s="7"/>
      <c r="E155" s="7"/>
      <c r="F155" s="7"/>
      <c r="G155" s="7"/>
      <c r="H155" s="7"/>
      <c r="I155" s="7"/>
      <c r="J155" s="7"/>
      <c r="K155" s="1"/>
      <c r="L155" s="1"/>
    </row>
    <row r="156" spans="1:12">
      <c r="A156" s="1"/>
      <c r="B156" s="1"/>
      <c r="C156" s="1"/>
      <c r="D156" s="7"/>
      <c r="E156" s="7"/>
      <c r="F156" s="7"/>
      <c r="G156" s="7"/>
      <c r="H156" s="7"/>
      <c r="I156" s="7"/>
      <c r="J156" s="7"/>
      <c r="K156" s="1"/>
      <c r="L156" s="1"/>
    </row>
    <row r="157" spans="1:12">
      <c r="A157" s="1">
        <v>46</v>
      </c>
      <c r="B157" s="1" t="s">
        <v>40</v>
      </c>
      <c r="C157" s="1" t="s">
        <v>12</v>
      </c>
      <c r="D157" s="7">
        <v>3881.83</v>
      </c>
      <c r="E157" s="7">
        <v>130.81</v>
      </c>
      <c r="F157" s="7">
        <v>131.32</v>
      </c>
      <c r="G157" s="7">
        <v>0</v>
      </c>
      <c r="H157" s="7">
        <v>0</v>
      </c>
      <c r="I157" s="7">
        <v>0</v>
      </c>
      <c r="J157" s="7">
        <f>SUM(D157:H157)</f>
        <v>4143.96</v>
      </c>
      <c r="K157" s="1"/>
      <c r="L157" s="1"/>
    </row>
    <row r="158" spans="1:12">
      <c r="A158" s="1"/>
      <c r="B158" s="1"/>
      <c r="C158" s="1"/>
      <c r="D158" s="7"/>
      <c r="E158" s="7"/>
      <c r="F158" s="7"/>
      <c r="G158" s="7"/>
      <c r="H158" s="7"/>
      <c r="I158" s="7"/>
      <c r="J158" s="7">
        <f>SUM(D158:H158)</f>
        <v>0</v>
      </c>
      <c r="K158" s="1"/>
      <c r="L158" s="1"/>
    </row>
    <row r="159" spans="1:12">
      <c r="A159" s="1"/>
      <c r="B159" s="1"/>
      <c r="C159" s="1" t="s">
        <v>10</v>
      </c>
      <c r="D159" s="7">
        <f>SUM(D157:D158)</f>
        <v>3881.83</v>
      </c>
      <c r="E159" s="7">
        <f>SUM(E157:E158)</f>
        <v>130.81</v>
      </c>
      <c r="F159" s="7">
        <f>SUM(F157:F158)</f>
        <v>131.32</v>
      </c>
      <c r="G159" s="7">
        <f>SUM(G157:G158)</f>
        <v>0</v>
      </c>
      <c r="H159" s="7">
        <f>SUM(H157:H158)</f>
        <v>0</v>
      </c>
      <c r="I159" s="7">
        <v>0</v>
      </c>
      <c r="J159" s="7">
        <f>SUM(D159:H159)</f>
        <v>4143.96</v>
      </c>
      <c r="K159" s="1"/>
      <c r="L159" s="1"/>
    </row>
    <row r="160" spans="1:12">
      <c r="A160" s="1"/>
      <c r="B160" s="1"/>
      <c r="C160" s="1"/>
      <c r="D160" s="7"/>
      <c r="E160" s="7"/>
      <c r="F160" s="7"/>
      <c r="G160" s="7"/>
      <c r="H160" s="7"/>
      <c r="I160" s="7"/>
      <c r="J160" s="7"/>
      <c r="K160" s="1"/>
      <c r="L160" s="1"/>
    </row>
    <row r="161" spans="1:12">
      <c r="A161" s="1"/>
      <c r="B161" s="1"/>
      <c r="C161" s="1"/>
      <c r="D161" s="7"/>
      <c r="E161" s="7"/>
      <c r="F161" s="7"/>
      <c r="G161" s="7"/>
      <c r="H161" s="7"/>
      <c r="I161" s="7"/>
      <c r="J161" s="7"/>
      <c r="K161" s="1"/>
      <c r="L161" s="1"/>
    </row>
    <row r="162" spans="1:12">
      <c r="A162" s="1">
        <v>47</v>
      </c>
      <c r="B162" s="1" t="s">
        <v>41</v>
      </c>
      <c r="C162" s="1" t="s">
        <v>12</v>
      </c>
      <c r="D162" s="7">
        <v>5028.84</v>
      </c>
      <c r="E162" s="7">
        <v>434.61</v>
      </c>
      <c r="F162" s="7">
        <v>0</v>
      </c>
      <c r="G162" s="7">
        <v>0</v>
      </c>
      <c r="H162" s="7">
        <v>0</v>
      </c>
      <c r="I162" s="7">
        <v>0</v>
      </c>
      <c r="J162" s="7">
        <f>SUM(D162:H162)</f>
        <v>5463.45</v>
      </c>
      <c r="K162" s="1"/>
      <c r="L162" s="1"/>
    </row>
    <row r="163" spans="1:12">
      <c r="A163" s="1"/>
      <c r="B163" s="1"/>
      <c r="C163" s="1"/>
      <c r="D163" s="7"/>
      <c r="E163" s="7"/>
      <c r="F163" s="7"/>
      <c r="G163" s="7"/>
      <c r="H163" s="7"/>
      <c r="I163" s="7"/>
      <c r="J163" s="7"/>
      <c r="K163" s="1"/>
      <c r="L163" s="1"/>
    </row>
    <row r="164" spans="1:12">
      <c r="A164" s="1"/>
      <c r="B164" s="1"/>
      <c r="C164" s="1"/>
      <c r="D164" s="7"/>
      <c r="E164" s="7"/>
      <c r="F164" s="7"/>
      <c r="G164" s="7"/>
      <c r="H164" s="7"/>
      <c r="I164" s="7"/>
      <c r="J164" s="7"/>
      <c r="K164" s="1"/>
      <c r="L164" s="1"/>
    </row>
    <row r="165" spans="1:12">
      <c r="A165" s="1"/>
      <c r="B165" s="1"/>
      <c r="C165" s="1" t="s">
        <v>10</v>
      </c>
      <c r="D165" s="7">
        <f>SUM(D162:D163)</f>
        <v>5028.84</v>
      </c>
      <c r="E165" s="7">
        <f>SUM(E162:E163)</f>
        <v>434.61</v>
      </c>
      <c r="F165" s="7">
        <f>SUM(F162:F163)</f>
        <v>0</v>
      </c>
      <c r="G165" s="7">
        <f>SUM(G162:G163)</f>
        <v>0</v>
      </c>
      <c r="H165" s="7">
        <f>SUM(H162:H163)</f>
        <v>0</v>
      </c>
      <c r="I165" s="7">
        <v>0</v>
      </c>
      <c r="J165" s="7">
        <f>SUM(D165:H165)</f>
        <v>5463.45</v>
      </c>
      <c r="K165" s="1"/>
      <c r="L165" s="1"/>
    </row>
    <row r="166" spans="1:12">
      <c r="A166" s="1"/>
      <c r="B166" s="1"/>
      <c r="C166" s="1"/>
      <c r="D166" s="7"/>
      <c r="E166" s="7"/>
      <c r="F166" s="7"/>
      <c r="G166" s="7"/>
      <c r="H166" s="7"/>
      <c r="I166" s="7"/>
      <c r="J166" s="7"/>
      <c r="K166" s="1"/>
      <c r="L166" s="1"/>
    </row>
    <row r="167" spans="1:12">
      <c r="A167" s="1"/>
      <c r="B167" s="1"/>
      <c r="C167" s="1"/>
      <c r="D167" s="7"/>
      <c r="E167" s="7"/>
      <c r="F167" s="7"/>
      <c r="G167" s="7"/>
      <c r="H167" s="7"/>
      <c r="I167" s="7"/>
      <c r="J167" s="7"/>
      <c r="K167" s="1"/>
      <c r="L167" s="1"/>
    </row>
    <row r="168" spans="1:12">
      <c r="A168" s="1">
        <v>48</v>
      </c>
      <c r="B168" s="1" t="s">
        <v>42</v>
      </c>
      <c r="C168" s="1" t="s">
        <v>12</v>
      </c>
      <c r="D168" s="7">
        <v>8762.1</v>
      </c>
      <c r="E168" s="7">
        <v>188.55</v>
      </c>
      <c r="F168" s="7">
        <v>187.85</v>
      </c>
      <c r="G168" s="7">
        <v>128.27000000000001</v>
      </c>
      <c r="H168" s="7">
        <v>188.38</v>
      </c>
      <c r="I168" s="7">
        <v>0</v>
      </c>
      <c r="J168" s="7">
        <f>SUM(D168:H168)</f>
        <v>9455.15</v>
      </c>
      <c r="K168" s="1"/>
      <c r="L168" s="1"/>
    </row>
    <row r="169" spans="1:12">
      <c r="A169" s="1"/>
      <c r="B169" s="1"/>
      <c r="C169" s="1"/>
      <c r="D169" s="7"/>
      <c r="E169" s="7"/>
      <c r="F169" s="7"/>
      <c r="G169" s="7"/>
      <c r="H169" s="7"/>
      <c r="I169" s="7"/>
      <c r="J169" s="7"/>
      <c r="K169" s="1"/>
      <c r="L169" s="1"/>
    </row>
    <row r="170" spans="1:12">
      <c r="A170" s="1"/>
      <c r="B170" s="1"/>
      <c r="C170" s="1" t="s">
        <v>10</v>
      </c>
      <c r="D170" s="7">
        <f>SUM(D168:D169)</f>
        <v>8762.1</v>
      </c>
      <c r="E170" s="7">
        <f>SUM(E168:E169)</f>
        <v>188.55</v>
      </c>
      <c r="F170" s="7">
        <f>SUM(F168:F169)</f>
        <v>187.85</v>
      </c>
      <c r="G170" s="7">
        <f>SUM(G168:G169)</f>
        <v>128.27000000000001</v>
      </c>
      <c r="H170" s="7">
        <f>SUM(H168:H169)</f>
        <v>188.38</v>
      </c>
      <c r="I170" s="7">
        <v>0</v>
      </c>
      <c r="J170" s="7">
        <f>SUM(D170:H170)</f>
        <v>9455.15</v>
      </c>
      <c r="K170" s="1"/>
      <c r="L170" s="1"/>
    </row>
    <row r="171" spans="1:12">
      <c r="A171" s="1"/>
      <c r="B171" s="1"/>
      <c r="C171" s="1"/>
      <c r="D171" s="7"/>
      <c r="E171" s="7"/>
      <c r="F171" s="7"/>
      <c r="G171" s="7"/>
      <c r="H171" s="7"/>
      <c r="I171" s="7"/>
      <c r="J171" s="7"/>
      <c r="K171" s="1"/>
      <c r="L171" s="1"/>
    </row>
    <row r="172" spans="1:12">
      <c r="A172" s="1"/>
      <c r="B172" s="1"/>
      <c r="C172" s="1"/>
      <c r="D172" s="7"/>
      <c r="E172" s="7"/>
      <c r="F172" s="7"/>
      <c r="G172" s="7"/>
      <c r="H172" s="7"/>
      <c r="I172" s="7"/>
      <c r="J172" s="7"/>
      <c r="K172" s="1"/>
      <c r="L172" s="1"/>
    </row>
    <row r="173" spans="1:12">
      <c r="A173" s="1">
        <v>49</v>
      </c>
      <c r="B173" s="1" t="s">
        <v>43</v>
      </c>
      <c r="C173" s="1" t="s">
        <v>12</v>
      </c>
      <c r="D173" s="7">
        <v>12987.97</v>
      </c>
      <c r="E173" s="7">
        <v>253.97</v>
      </c>
      <c r="F173" s="7">
        <v>227.8</v>
      </c>
      <c r="G173" s="7">
        <v>0</v>
      </c>
      <c r="H173" s="7">
        <v>0</v>
      </c>
      <c r="I173" s="7">
        <v>0</v>
      </c>
      <c r="J173" s="7">
        <f>SUM(D173:H173)</f>
        <v>13469.739999999998</v>
      </c>
      <c r="K173" s="1"/>
      <c r="L173" s="1"/>
    </row>
    <row r="174" spans="1:12">
      <c r="A174" s="1"/>
      <c r="B174" s="1"/>
      <c r="C174" s="1"/>
      <c r="D174" s="7"/>
      <c r="E174" s="7"/>
      <c r="F174" s="7"/>
      <c r="G174" s="7"/>
      <c r="H174" s="7"/>
      <c r="I174" s="7"/>
      <c r="J174" s="7">
        <f>SUM(D174:H174)</f>
        <v>0</v>
      </c>
      <c r="K174" s="1"/>
      <c r="L174" s="1"/>
    </row>
    <row r="175" spans="1:12">
      <c r="A175" s="1"/>
      <c r="B175" s="1"/>
      <c r="C175" s="1" t="s">
        <v>10</v>
      </c>
      <c r="D175" s="7">
        <f>SUM(D173:D174)</f>
        <v>12987.97</v>
      </c>
      <c r="E175" s="7">
        <f>SUM(E173:E174)</f>
        <v>253.97</v>
      </c>
      <c r="F175" s="7">
        <f>SUM(F173:F174)</f>
        <v>227.8</v>
      </c>
      <c r="G175" s="7">
        <f>SUM(G173:G174)</f>
        <v>0</v>
      </c>
      <c r="H175" s="7">
        <f>SUM(H173:H174)</f>
        <v>0</v>
      </c>
      <c r="I175" s="7">
        <v>0</v>
      </c>
      <c r="J175" s="7">
        <f>SUM(D175:H175)</f>
        <v>13469.739999999998</v>
      </c>
      <c r="K175" s="1"/>
      <c r="L175" s="1"/>
    </row>
    <row r="176" spans="1:12">
      <c r="A176" s="1"/>
      <c r="B176" s="1"/>
      <c r="C176" s="1"/>
      <c r="D176" s="7"/>
      <c r="E176" s="7"/>
      <c r="F176" s="7"/>
      <c r="G176" s="7"/>
      <c r="H176" s="7"/>
      <c r="I176" s="7"/>
      <c r="J176" s="7"/>
      <c r="K176" s="1"/>
      <c r="L176" s="1"/>
    </row>
    <row r="177" spans="1:12">
      <c r="A177" s="1"/>
      <c r="B177" s="1"/>
      <c r="C177" s="1"/>
      <c r="D177" s="7"/>
      <c r="E177" s="7"/>
      <c r="F177" s="7"/>
      <c r="G177" s="7"/>
      <c r="H177" s="7"/>
      <c r="I177" s="7"/>
      <c r="J177" s="7"/>
      <c r="K177" s="1"/>
      <c r="L177" s="1"/>
    </row>
    <row r="178" spans="1:12">
      <c r="A178" s="1">
        <v>50</v>
      </c>
      <c r="B178" s="1" t="s">
        <v>44</v>
      </c>
      <c r="C178" s="1" t="s">
        <v>12</v>
      </c>
      <c r="D178" s="7">
        <v>3463.62</v>
      </c>
      <c r="E178" s="7">
        <v>122.99</v>
      </c>
      <c r="F178" s="7">
        <v>0</v>
      </c>
      <c r="G178" s="7">
        <v>0</v>
      </c>
      <c r="H178" s="7">
        <v>0</v>
      </c>
      <c r="I178" s="7">
        <v>0</v>
      </c>
      <c r="J178" s="7">
        <f>SUM(D178:H178)</f>
        <v>3586.6099999999997</v>
      </c>
      <c r="K178" s="1"/>
      <c r="L178" s="1"/>
    </row>
    <row r="179" spans="1:12">
      <c r="A179" s="1"/>
      <c r="B179" s="1"/>
      <c r="C179" s="1" t="s">
        <v>13</v>
      </c>
      <c r="D179" s="7">
        <v>85.67</v>
      </c>
      <c r="E179" s="7">
        <v>3.09</v>
      </c>
      <c r="F179" s="7">
        <v>0</v>
      </c>
      <c r="G179" s="7">
        <v>0</v>
      </c>
      <c r="H179" s="7">
        <v>0</v>
      </c>
      <c r="I179" s="7">
        <v>0</v>
      </c>
      <c r="J179" s="7">
        <f>SUM(D179:H179)</f>
        <v>88.76</v>
      </c>
      <c r="K179" s="1"/>
      <c r="L179" s="1"/>
    </row>
    <row r="180" spans="1:12">
      <c r="A180" s="1"/>
      <c r="B180" s="1"/>
      <c r="C180" s="1"/>
      <c r="D180" s="7"/>
      <c r="E180" s="7"/>
      <c r="F180" s="7"/>
      <c r="G180" s="7"/>
      <c r="H180" s="7"/>
      <c r="I180" s="7"/>
      <c r="J180" s="7"/>
      <c r="K180" s="1"/>
      <c r="L180" s="1"/>
    </row>
    <row r="181" spans="1:12">
      <c r="A181" s="1"/>
      <c r="B181" s="1"/>
      <c r="C181" s="1" t="s">
        <v>10</v>
      </c>
      <c r="D181" s="7">
        <f>SUM(D178:D179)</f>
        <v>3549.29</v>
      </c>
      <c r="E181" s="7">
        <f>SUM(E178:E179)</f>
        <v>126.08</v>
      </c>
      <c r="F181" s="7">
        <f>SUM(F178:F179)</f>
        <v>0</v>
      </c>
      <c r="G181" s="7">
        <f>SUM(G178:G179)</f>
        <v>0</v>
      </c>
      <c r="H181" s="7">
        <f>SUM(H178:H179)</f>
        <v>0</v>
      </c>
      <c r="I181" s="7">
        <v>0</v>
      </c>
      <c r="J181" s="7">
        <f>SUM(D181:H181)</f>
        <v>3675.37</v>
      </c>
      <c r="K181" s="1"/>
      <c r="L181" s="1"/>
    </row>
    <row r="182" spans="1:12">
      <c r="A182" s="1"/>
      <c r="B182" s="1"/>
      <c r="C182" s="1"/>
      <c r="D182" s="7"/>
      <c r="E182" s="7"/>
      <c r="F182" s="7"/>
      <c r="G182" s="7"/>
      <c r="H182" s="7"/>
      <c r="I182" s="7"/>
      <c r="J182" s="7"/>
      <c r="K182" s="1"/>
      <c r="L182" s="1"/>
    </row>
    <row r="183" spans="1:12">
      <c r="A183" s="1"/>
      <c r="B183" s="1"/>
      <c r="C183" s="1"/>
      <c r="D183" s="7"/>
      <c r="E183" s="7"/>
      <c r="F183" s="7"/>
      <c r="G183" s="7"/>
      <c r="H183" s="7"/>
      <c r="I183" s="7"/>
      <c r="J183" s="7"/>
      <c r="K183" s="1"/>
      <c r="L183" s="1"/>
    </row>
    <row r="184" spans="1:12">
      <c r="A184" s="1">
        <v>51</v>
      </c>
      <c r="B184" s="1" t="s">
        <v>45</v>
      </c>
      <c r="C184" s="1" t="s">
        <v>12</v>
      </c>
      <c r="D184" s="7">
        <v>13502.25</v>
      </c>
      <c r="E184" s="7">
        <v>473.16</v>
      </c>
      <c r="F184" s="7">
        <v>236.76</v>
      </c>
      <c r="G184" s="7">
        <v>202.94</v>
      </c>
      <c r="H184" s="7">
        <v>0</v>
      </c>
      <c r="I184" s="7">
        <v>0</v>
      </c>
      <c r="J184" s="7">
        <f>SUM(D184:H184)</f>
        <v>14415.11</v>
      </c>
      <c r="K184" s="1"/>
      <c r="L184" s="1"/>
    </row>
    <row r="185" spans="1:12">
      <c r="A185" s="1"/>
      <c r="B185" s="1"/>
      <c r="C185" s="1" t="s">
        <v>13</v>
      </c>
      <c r="D185" s="7">
        <v>835.24</v>
      </c>
      <c r="E185" s="7">
        <v>20.95</v>
      </c>
      <c r="F185" s="7">
        <v>15.763</v>
      </c>
      <c r="G185" s="7">
        <v>13.62</v>
      </c>
      <c r="H185" s="7">
        <v>0</v>
      </c>
      <c r="I185" s="7">
        <v>0</v>
      </c>
      <c r="J185" s="7">
        <f>SUM(D185:H185)</f>
        <v>885.57300000000009</v>
      </c>
      <c r="K185" s="1"/>
      <c r="L185" s="1"/>
    </row>
    <row r="186" spans="1:12">
      <c r="A186" s="1"/>
      <c r="B186" s="1"/>
      <c r="C186" s="1" t="s">
        <v>46</v>
      </c>
      <c r="D186" s="7">
        <v>279.41000000000003</v>
      </c>
      <c r="E186" s="7">
        <v>7.64</v>
      </c>
      <c r="F186" s="7">
        <v>3.8</v>
      </c>
      <c r="G186" s="7">
        <v>3.36</v>
      </c>
      <c r="H186" s="7">
        <v>0</v>
      </c>
      <c r="I186" s="7">
        <v>0</v>
      </c>
      <c r="J186" s="7">
        <f>SUM(D186:H186)</f>
        <v>294.21000000000004</v>
      </c>
      <c r="K186" s="1"/>
      <c r="L186" s="1"/>
    </row>
    <row r="187" spans="1:12">
      <c r="A187" s="1"/>
      <c r="B187" s="1"/>
      <c r="C187" s="1"/>
      <c r="D187" s="7"/>
      <c r="E187" s="7"/>
      <c r="F187" s="7"/>
      <c r="G187" s="7"/>
      <c r="H187" s="7"/>
      <c r="I187" s="7"/>
      <c r="J187" s="7"/>
      <c r="K187" s="1"/>
      <c r="L187" s="1"/>
    </row>
    <row r="188" spans="1:12">
      <c r="A188" s="1"/>
      <c r="B188" s="1"/>
      <c r="C188" s="1" t="s">
        <v>10</v>
      </c>
      <c r="D188" s="7">
        <f>SUM(D184:D186)</f>
        <v>14616.9</v>
      </c>
      <c r="E188" s="7">
        <f>SUM(E184:E186)</f>
        <v>501.75</v>
      </c>
      <c r="F188" s="7">
        <f>SUM(F184:F186)</f>
        <v>256.32299999999998</v>
      </c>
      <c r="G188" s="7">
        <f>SUM(G184:G186)</f>
        <v>219.92000000000002</v>
      </c>
      <c r="H188" s="7">
        <f>SUM(H184:H186)</f>
        <v>0</v>
      </c>
      <c r="I188" s="7">
        <v>0</v>
      </c>
      <c r="J188" s="7">
        <f>SUM(D188:H188)</f>
        <v>15594.893</v>
      </c>
      <c r="K188" s="1"/>
      <c r="L188" s="1"/>
    </row>
    <row r="189" spans="1:12">
      <c r="A189" s="1"/>
      <c r="B189" s="1"/>
      <c r="C189" s="1"/>
      <c r="D189" s="7"/>
      <c r="E189" s="7"/>
      <c r="F189" s="7"/>
      <c r="G189" s="7"/>
      <c r="H189" s="7"/>
      <c r="I189" s="7"/>
      <c r="J189" s="7"/>
      <c r="K189" s="1"/>
      <c r="L189" s="1"/>
    </row>
    <row r="190" spans="1:12">
      <c r="A190" s="1"/>
      <c r="B190" s="1"/>
      <c r="C190" s="1"/>
      <c r="D190" s="7"/>
      <c r="E190" s="7"/>
      <c r="F190" s="7"/>
      <c r="G190" s="7"/>
      <c r="H190" s="7"/>
      <c r="I190" s="7"/>
      <c r="J190" s="7"/>
      <c r="K190" s="1"/>
      <c r="L190" s="1"/>
    </row>
    <row r="191" spans="1:12">
      <c r="A191" s="1">
        <v>52</v>
      </c>
      <c r="B191" s="1" t="s">
        <v>47</v>
      </c>
      <c r="C191" s="1" t="s">
        <v>12</v>
      </c>
      <c r="D191" s="7">
        <v>7722.76</v>
      </c>
      <c r="E191" s="7">
        <v>23.95</v>
      </c>
      <c r="F191" s="7">
        <v>0</v>
      </c>
      <c r="G191" s="7">
        <v>0</v>
      </c>
      <c r="H191" s="7">
        <v>0</v>
      </c>
      <c r="I191" s="7">
        <v>0</v>
      </c>
      <c r="J191" s="7">
        <f>SUM(D191:H191)</f>
        <v>7746.71</v>
      </c>
      <c r="K191" s="1"/>
      <c r="L191" s="1"/>
    </row>
    <row r="192" spans="1:12">
      <c r="A192" s="1"/>
      <c r="B192" s="1"/>
      <c r="C192" s="1" t="s">
        <v>13</v>
      </c>
      <c r="D192" s="7">
        <v>496.05</v>
      </c>
      <c r="E192" s="7">
        <v>1.52</v>
      </c>
      <c r="F192" s="7">
        <v>0</v>
      </c>
      <c r="G192" s="7">
        <v>0</v>
      </c>
      <c r="H192" s="7">
        <v>0</v>
      </c>
      <c r="I192" s="7">
        <v>0</v>
      </c>
      <c r="J192" s="7">
        <f>SUM(D192:H192)</f>
        <v>497.57</v>
      </c>
      <c r="K192" s="1"/>
      <c r="L192" s="1"/>
    </row>
    <row r="193" spans="1:12">
      <c r="A193" s="1"/>
      <c r="B193" s="1"/>
      <c r="C193" s="1"/>
      <c r="D193" s="7"/>
      <c r="E193" s="7"/>
      <c r="F193" s="7"/>
      <c r="G193" s="7"/>
      <c r="H193" s="7"/>
      <c r="I193" s="7"/>
      <c r="J193" s="7"/>
      <c r="K193" s="1"/>
      <c r="L193" s="1"/>
    </row>
    <row r="194" spans="1:12">
      <c r="A194" s="1"/>
      <c r="B194" s="1"/>
      <c r="C194" s="1" t="s">
        <v>10</v>
      </c>
      <c r="D194" s="7">
        <f>SUM(D191:D192)</f>
        <v>8218.81</v>
      </c>
      <c r="E194" s="7">
        <f>SUM(E191:E192)</f>
        <v>25.47</v>
      </c>
      <c r="F194" s="7">
        <f>SUM(F191:F192)</f>
        <v>0</v>
      </c>
      <c r="G194" s="7">
        <f>SUM(G191:G192)</f>
        <v>0</v>
      </c>
      <c r="H194" s="7">
        <f>SUM(H191:H192)</f>
        <v>0</v>
      </c>
      <c r="I194" s="7">
        <v>0</v>
      </c>
      <c r="J194" s="7">
        <f>SUM(D194:H194)</f>
        <v>8244.2799999999988</v>
      </c>
      <c r="K194" s="1"/>
      <c r="L194" s="1"/>
    </row>
    <row r="195" spans="1:12">
      <c r="A195" s="1"/>
      <c r="B195" s="1"/>
      <c r="C195" s="1"/>
      <c r="D195" s="7"/>
      <c r="E195" s="7"/>
      <c r="F195" s="7"/>
      <c r="G195" s="7"/>
      <c r="H195" s="7"/>
      <c r="I195" s="7"/>
      <c r="J195" s="7"/>
      <c r="K195" s="1"/>
      <c r="L195" s="1"/>
    </row>
    <row r="196" spans="1:12">
      <c r="A196" s="1"/>
      <c r="B196" s="1"/>
      <c r="C196" s="1"/>
      <c r="D196" s="7"/>
      <c r="E196" s="7"/>
      <c r="F196" s="7"/>
      <c r="G196" s="7"/>
      <c r="H196" s="7"/>
      <c r="I196" s="7"/>
      <c r="J196" s="7"/>
      <c r="K196" s="1"/>
      <c r="L196" s="1"/>
    </row>
    <row r="197" spans="1:12">
      <c r="A197" s="1">
        <v>53</v>
      </c>
      <c r="B197" s="1" t="s">
        <v>48</v>
      </c>
      <c r="C197" s="1" t="s">
        <v>12</v>
      </c>
      <c r="D197" s="7">
        <v>13245.17</v>
      </c>
      <c r="E197" s="7">
        <v>529.41</v>
      </c>
      <c r="F197" s="7">
        <v>337.28</v>
      </c>
      <c r="G197" s="7">
        <v>118.56</v>
      </c>
      <c r="H197" s="7">
        <v>56.84</v>
      </c>
      <c r="I197" s="7">
        <v>0.52</v>
      </c>
      <c r="J197" s="7">
        <f>SUM(D197:I197)</f>
        <v>14287.78</v>
      </c>
      <c r="K197" s="1"/>
      <c r="L197" s="1"/>
    </row>
    <row r="198" spans="1:12">
      <c r="A198" s="1"/>
      <c r="B198" s="1"/>
      <c r="C198" s="1" t="s">
        <v>35</v>
      </c>
      <c r="D198" s="7">
        <v>579.87</v>
      </c>
      <c r="E198" s="7">
        <v>23.2</v>
      </c>
      <c r="F198" s="7">
        <v>14.03</v>
      </c>
      <c r="G198" s="7">
        <v>4.8499999999999996</v>
      </c>
      <c r="H198" s="7">
        <v>2.14</v>
      </c>
      <c r="I198" s="7">
        <v>0.05</v>
      </c>
      <c r="J198" s="7">
        <f>SUM(D198:I198)</f>
        <v>624.14</v>
      </c>
      <c r="K198" s="1"/>
      <c r="L198" s="1"/>
    </row>
    <row r="199" spans="1:12">
      <c r="A199" s="1"/>
      <c r="B199" s="1"/>
      <c r="C199" s="1"/>
      <c r="D199" s="7"/>
      <c r="E199" s="7"/>
      <c r="F199" s="7"/>
      <c r="G199" s="7"/>
      <c r="H199" s="7"/>
      <c r="I199" s="7"/>
      <c r="J199" s="7"/>
      <c r="K199" s="1"/>
      <c r="L199" s="1"/>
    </row>
    <row r="200" spans="1:12">
      <c r="A200" s="1"/>
      <c r="B200" s="1"/>
      <c r="C200" s="1" t="s">
        <v>10</v>
      </c>
      <c r="D200" s="7">
        <f t="shared" ref="D200:I200" si="18">SUM(D197:D198)</f>
        <v>13825.04</v>
      </c>
      <c r="E200" s="7">
        <f t="shared" si="18"/>
        <v>552.61</v>
      </c>
      <c r="F200" s="7">
        <f t="shared" si="18"/>
        <v>351.30999999999995</v>
      </c>
      <c r="G200" s="7">
        <f t="shared" si="18"/>
        <v>123.41</v>
      </c>
      <c r="H200" s="7">
        <f t="shared" si="18"/>
        <v>58.980000000000004</v>
      </c>
      <c r="I200" s="7">
        <f t="shared" si="18"/>
        <v>0.57000000000000006</v>
      </c>
      <c r="J200" s="7">
        <f>SUM(D200:I200)</f>
        <v>14911.92</v>
      </c>
      <c r="K200" s="1"/>
      <c r="L200" s="1"/>
    </row>
    <row r="201" spans="1:12">
      <c r="A201" s="1"/>
      <c r="B201" s="1"/>
      <c r="C201" s="1"/>
      <c r="D201" s="7"/>
      <c r="E201" s="7"/>
      <c r="F201" s="7"/>
      <c r="G201" s="7"/>
      <c r="H201" s="7"/>
      <c r="I201" s="7"/>
      <c r="J201" s="7"/>
      <c r="K201" s="1"/>
      <c r="L201" s="1"/>
    </row>
    <row r="202" spans="1:12">
      <c r="A202" s="1"/>
      <c r="B202" s="1"/>
      <c r="C202" s="1"/>
      <c r="D202" s="7"/>
      <c r="E202" s="7"/>
      <c r="F202" s="7"/>
      <c r="G202" s="7"/>
      <c r="H202" s="7"/>
      <c r="I202" s="7"/>
      <c r="J202" s="7"/>
      <c r="K202" s="1"/>
      <c r="L202" s="1"/>
    </row>
    <row r="203" spans="1:12">
      <c r="A203" s="1">
        <v>54</v>
      </c>
      <c r="B203" s="1" t="s">
        <v>49</v>
      </c>
      <c r="C203" s="1" t="s">
        <v>12</v>
      </c>
      <c r="D203" s="7">
        <v>6543.6</v>
      </c>
      <c r="E203" s="7">
        <v>409.47</v>
      </c>
      <c r="F203" s="7">
        <v>411.75</v>
      </c>
      <c r="G203" s="7">
        <v>379.36</v>
      </c>
      <c r="H203" s="7">
        <v>84.65</v>
      </c>
      <c r="I203" s="7">
        <v>0</v>
      </c>
      <c r="J203" s="7">
        <f>SUM(D203:H203)</f>
        <v>7828.83</v>
      </c>
      <c r="K203" s="1"/>
      <c r="L203" s="1"/>
    </row>
    <row r="204" spans="1:12">
      <c r="A204" s="1"/>
      <c r="B204" s="1"/>
      <c r="C204" s="1"/>
      <c r="D204" s="7"/>
      <c r="E204" s="7"/>
      <c r="F204" s="7"/>
      <c r="G204" s="7"/>
      <c r="H204" s="7"/>
      <c r="I204" s="7"/>
      <c r="J204" s="7">
        <f>SUM(D204:H204)</f>
        <v>0</v>
      </c>
      <c r="K204" s="1"/>
      <c r="L204" s="1"/>
    </row>
    <row r="205" spans="1:12">
      <c r="A205" s="1"/>
      <c r="B205" s="1"/>
      <c r="C205" s="1" t="s">
        <v>10</v>
      </c>
      <c r="D205" s="7">
        <f>SUM(D203:D204)</f>
        <v>6543.6</v>
      </c>
      <c r="E205" s="7">
        <f>SUM(E203:E204)</f>
        <v>409.47</v>
      </c>
      <c r="F205" s="7">
        <f>SUM(F203:F204)</f>
        <v>411.75</v>
      </c>
      <c r="G205" s="7">
        <f>SUM(G203:G204)</f>
        <v>379.36</v>
      </c>
      <c r="H205" s="7">
        <f>SUM(H203:H204)</f>
        <v>84.65</v>
      </c>
      <c r="I205" s="7">
        <v>0</v>
      </c>
      <c r="J205" s="7">
        <f>SUM(D205:H205)</f>
        <v>7828.83</v>
      </c>
      <c r="K205" s="1"/>
      <c r="L205" s="1"/>
    </row>
    <row r="206" spans="1:12">
      <c r="A206" s="1"/>
      <c r="B206" s="1"/>
      <c r="C206" s="1"/>
      <c r="D206" s="7"/>
      <c r="E206" s="7"/>
      <c r="F206" s="7"/>
      <c r="G206" s="7"/>
      <c r="H206" s="7"/>
      <c r="I206" s="7"/>
      <c r="J206" s="7"/>
      <c r="K206" s="1"/>
      <c r="L206" s="1"/>
    </row>
    <row r="207" spans="1:12">
      <c r="A207" s="1"/>
      <c r="B207" s="1"/>
      <c r="C207" s="1"/>
      <c r="D207" s="7"/>
      <c r="E207" s="7"/>
      <c r="F207" s="7"/>
      <c r="G207" s="7"/>
      <c r="H207" s="7"/>
      <c r="I207" s="7"/>
      <c r="J207" s="7"/>
      <c r="K207" s="1"/>
      <c r="L207" s="1"/>
    </row>
    <row r="208" spans="1:12">
      <c r="A208" s="1">
        <v>55</v>
      </c>
      <c r="B208" s="1" t="s">
        <v>50</v>
      </c>
      <c r="C208" s="1" t="s">
        <v>12</v>
      </c>
      <c r="D208" s="7">
        <v>10323.280000000001</v>
      </c>
      <c r="E208" s="7">
        <v>372.97</v>
      </c>
      <c r="F208" s="7">
        <v>112.37</v>
      </c>
      <c r="G208" s="7">
        <v>0</v>
      </c>
      <c r="H208" s="7">
        <v>0</v>
      </c>
      <c r="I208" s="7">
        <v>0</v>
      </c>
      <c r="J208" s="7">
        <f>SUM(D208:H208)</f>
        <v>10808.62</v>
      </c>
      <c r="K208" s="1"/>
      <c r="L208" s="1"/>
    </row>
    <row r="209" spans="1:12">
      <c r="A209" s="1"/>
      <c r="B209" s="1"/>
      <c r="C209" s="1" t="s">
        <v>13</v>
      </c>
      <c r="D209" s="7">
        <v>229.32</v>
      </c>
      <c r="E209" s="7">
        <v>9.32</v>
      </c>
      <c r="F209" s="7">
        <v>2.81</v>
      </c>
      <c r="G209" s="7">
        <v>0</v>
      </c>
      <c r="H209" s="7">
        <v>0</v>
      </c>
      <c r="I209" s="7">
        <v>0</v>
      </c>
      <c r="J209" s="7">
        <f>SUM(D209:H209)</f>
        <v>241.45</v>
      </c>
      <c r="K209" s="1"/>
      <c r="L209" s="1"/>
    </row>
    <row r="210" spans="1:12">
      <c r="A210" s="1"/>
      <c r="B210" s="1"/>
      <c r="C210" s="1"/>
      <c r="D210" s="7"/>
      <c r="E210" s="7"/>
      <c r="F210" s="7"/>
      <c r="G210" s="7"/>
      <c r="H210" s="7"/>
      <c r="I210" s="7"/>
      <c r="J210" s="7"/>
      <c r="K210" s="1"/>
      <c r="L210" s="1"/>
    </row>
    <row r="211" spans="1:12">
      <c r="A211" s="1"/>
      <c r="B211" s="1"/>
      <c r="C211" s="1" t="s">
        <v>10</v>
      </c>
      <c r="D211" s="7">
        <f>SUM(D208:D209)</f>
        <v>10552.6</v>
      </c>
      <c r="E211" s="7">
        <f>SUM(E208:E209)</f>
        <v>382.29</v>
      </c>
      <c r="F211" s="7">
        <f>SUM(F208:F209)</f>
        <v>115.18</v>
      </c>
      <c r="G211" s="7">
        <f>SUM(G208:G209)</f>
        <v>0</v>
      </c>
      <c r="H211" s="7">
        <f>SUM(H208:H209)</f>
        <v>0</v>
      </c>
      <c r="I211" s="7">
        <v>0</v>
      </c>
      <c r="J211" s="7">
        <f>SUM(D211:H211)</f>
        <v>11050.070000000002</v>
      </c>
      <c r="K211" s="1"/>
      <c r="L211" s="1"/>
    </row>
    <row r="212" spans="1:12">
      <c r="A212" s="1"/>
      <c r="B212" s="1"/>
      <c r="C212" s="1"/>
      <c r="D212" s="7"/>
      <c r="E212" s="7"/>
      <c r="F212" s="7"/>
      <c r="G212" s="7"/>
      <c r="H212" s="7"/>
      <c r="I212" s="7"/>
      <c r="J212" s="7"/>
      <c r="K212" s="1"/>
      <c r="L212" s="1"/>
    </row>
    <row r="213" spans="1:12">
      <c r="A213" s="1"/>
      <c r="B213" s="1"/>
      <c r="C213" s="1"/>
      <c r="D213" s="7"/>
      <c r="E213" s="7"/>
      <c r="F213" s="7"/>
      <c r="G213" s="7"/>
      <c r="H213" s="7"/>
      <c r="I213" s="7"/>
      <c r="J213" s="7"/>
      <c r="K213" s="1"/>
      <c r="L213" s="1"/>
    </row>
    <row r="214" spans="1:12">
      <c r="A214" s="1">
        <v>56</v>
      </c>
      <c r="B214" s="1" t="s">
        <v>51</v>
      </c>
      <c r="C214" s="1" t="s">
        <v>12</v>
      </c>
      <c r="D214" s="7">
        <v>6023.48</v>
      </c>
      <c r="E214" s="7">
        <v>128.13999999999999</v>
      </c>
      <c r="F214" s="7">
        <v>61.93</v>
      </c>
      <c r="G214" s="7">
        <v>63.59</v>
      </c>
      <c r="H214" s="7">
        <v>26.63</v>
      </c>
      <c r="I214" s="7">
        <v>0</v>
      </c>
      <c r="J214" s="7">
        <f>SUM(D214:H214)</f>
        <v>6303.77</v>
      </c>
      <c r="K214" s="1"/>
      <c r="L214" s="1"/>
    </row>
    <row r="215" spans="1:12">
      <c r="A215" s="1"/>
      <c r="B215" s="1"/>
      <c r="C215" s="1" t="s">
        <v>13</v>
      </c>
      <c r="D215" s="7">
        <v>112.99</v>
      </c>
      <c r="E215" s="7">
        <v>2.31</v>
      </c>
      <c r="F215" s="7">
        <v>1.18</v>
      </c>
      <c r="G215" s="7">
        <v>1.1000000000000001</v>
      </c>
      <c r="H215" s="7">
        <v>0.46</v>
      </c>
      <c r="I215" s="7">
        <v>0</v>
      </c>
      <c r="J215" s="7">
        <f>SUM(D215:H215)</f>
        <v>118.03999999999999</v>
      </c>
      <c r="K215" s="1"/>
      <c r="L215" s="1"/>
    </row>
    <row r="216" spans="1:12">
      <c r="A216" s="1"/>
      <c r="B216" s="1"/>
      <c r="C216" s="1"/>
      <c r="D216" s="7"/>
      <c r="E216" s="7"/>
      <c r="F216" s="7"/>
      <c r="G216" s="7"/>
      <c r="H216" s="7"/>
      <c r="I216" s="7"/>
      <c r="J216" s="7"/>
      <c r="K216" s="1"/>
      <c r="L216" s="1"/>
    </row>
    <row r="217" spans="1:12">
      <c r="A217" s="1"/>
      <c r="B217" s="1"/>
      <c r="C217" s="1" t="s">
        <v>10</v>
      </c>
      <c r="D217" s="7">
        <f>SUM(D214:D215)</f>
        <v>6136.4699999999993</v>
      </c>
      <c r="E217" s="7">
        <f>SUM(E214:E215)</f>
        <v>130.44999999999999</v>
      </c>
      <c r="F217" s="7">
        <f>SUM(F214:F215)</f>
        <v>63.11</v>
      </c>
      <c r="G217" s="7">
        <f>SUM(G214:G215)</f>
        <v>64.69</v>
      </c>
      <c r="H217" s="7">
        <f>SUM(H214:H215)</f>
        <v>27.09</v>
      </c>
      <c r="I217" s="7">
        <v>0</v>
      </c>
      <c r="J217" s="7">
        <f>SUM(D217:H217)</f>
        <v>6421.8099999999986</v>
      </c>
      <c r="K217" s="1"/>
      <c r="L217" s="1"/>
    </row>
    <row r="218" spans="1:12">
      <c r="A218" s="1"/>
      <c r="B218" s="1"/>
      <c r="C218" s="1"/>
      <c r="D218" s="7"/>
      <c r="E218" s="7"/>
      <c r="F218" s="7"/>
      <c r="G218" s="7"/>
      <c r="H218" s="7"/>
      <c r="I218" s="7"/>
      <c r="J218" s="7"/>
      <c r="K218" s="1"/>
      <c r="L218" s="1"/>
    </row>
    <row r="219" spans="1:12">
      <c r="A219" s="1"/>
      <c r="B219" s="1"/>
      <c r="C219" s="1"/>
      <c r="D219" s="7"/>
      <c r="E219" s="7"/>
      <c r="F219" s="7"/>
      <c r="G219" s="7"/>
      <c r="H219" s="7"/>
      <c r="I219" s="7"/>
      <c r="J219" s="7"/>
      <c r="K219" s="1"/>
      <c r="L219" s="1"/>
    </row>
    <row r="220" spans="1:12">
      <c r="A220" s="1">
        <v>57</v>
      </c>
      <c r="B220" s="1" t="s">
        <v>52</v>
      </c>
      <c r="C220" s="1" t="s">
        <v>12</v>
      </c>
      <c r="D220" s="7">
        <v>13456.17</v>
      </c>
      <c r="E220" s="7">
        <v>481.63</v>
      </c>
      <c r="F220" s="7">
        <v>139.19</v>
      </c>
      <c r="G220" s="7">
        <v>0</v>
      </c>
      <c r="H220" s="7">
        <v>0</v>
      </c>
      <c r="I220" s="7">
        <v>0</v>
      </c>
      <c r="J220" s="7">
        <f>SUM(D220:H220)</f>
        <v>14076.99</v>
      </c>
      <c r="K220" s="1"/>
      <c r="L220" s="1"/>
    </row>
    <row r="221" spans="1:12">
      <c r="A221" s="1"/>
      <c r="B221" s="1"/>
      <c r="C221" s="1" t="s">
        <v>13</v>
      </c>
      <c r="D221" s="7">
        <v>254.79</v>
      </c>
      <c r="E221" s="7">
        <v>9.41</v>
      </c>
      <c r="F221" s="7">
        <v>2.92</v>
      </c>
      <c r="G221" s="7">
        <v>0</v>
      </c>
      <c r="H221" s="7">
        <v>0</v>
      </c>
      <c r="I221" s="7">
        <v>0</v>
      </c>
      <c r="J221" s="7">
        <f>SUM(D221:H221)</f>
        <v>267.12</v>
      </c>
      <c r="K221" s="1"/>
      <c r="L221" s="1"/>
    </row>
    <row r="222" spans="1:12">
      <c r="A222" s="1"/>
      <c r="B222" s="1"/>
      <c r="C222" s="1"/>
      <c r="D222" s="7"/>
      <c r="E222" s="7"/>
      <c r="F222" s="7"/>
      <c r="G222" s="7"/>
      <c r="H222" s="7"/>
      <c r="I222" s="7"/>
      <c r="J222" s="7"/>
      <c r="K222" s="1"/>
      <c r="L222" s="1"/>
    </row>
    <row r="223" spans="1:12">
      <c r="A223" s="1"/>
      <c r="B223" s="1"/>
      <c r="C223" s="1" t="s">
        <v>10</v>
      </c>
      <c r="D223" s="7">
        <f>SUM(D220:D221)</f>
        <v>13710.960000000001</v>
      </c>
      <c r="E223" s="7">
        <f>SUM(E220:E221)</f>
        <v>491.04</v>
      </c>
      <c r="F223" s="7">
        <f>SUM(F220:F221)</f>
        <v>142.10999999999999</v>
      </c>
      <c r="G223" s="7">
        <f>SUM(G220:G221)</f>
        <v>0</v>
      </c>
      <c r="H223" s="7">
        <f>SUM(H220:H221)</f>
        <v>0</v>
      </c>
      <c r="I223" s="7">
        <v>0</v>
      </c>
      <c r="J223" s="7">
        <f>SUM(D223:H223)</f>
        <v>14344.110000000002</v>
      </c>
      <c r="K223" s="1"/>
      <c r="L223" s="1"/>
    </row>
    <row r="224" spans="1:12">
      <c r="A224" s="1"/>
      <c r="B224" s="1"/>
      <c r="C224" s="1"/>
      <c r="D224" s="7"/>
      <c r="E224" s="7"/>
      <c r="F224" s="7"/>
      <c r="G224" s="7"/>
      <c r="H224" s="7"/>
      <c r="I224" s="7"/>
      <c r="J224" s="7"/>
      <c r="K224" s="1"/>
      <c r="L224" s="1"/>
    </row>
    <row r="225" spans="1:12">
      <c r="A225" s="1"/>
      <c r="B225" s="1"/>
      <c r="C225" s="1"/>
      <c r="D225" s="7"/>
      <c r="E225" s="7"/>
      <c r="F225" s="7"/>
      <c r="G225" s="7"/>
      <c r="H225" s="7"/>
      <c r="I225" s="7"/>
      <c r="J225" s="7"/>
      <c r="K225" s="1"/>
      <c r="L225" s="1"/>
    </row>
    <row r="226" spans="1:12">
      <c r="A226" s="1">
        <v>58</v>
      </c>
      <c r="B226" s="1" t="s">
        <v>53</v>
      </c>
      <c r="C226" s="1" t="s">
        <v>12</v>
      </c>
      <c r="D226" s="7">
        <v>6327.66</v>
      </c>
      <c r="E226" s="7">
        <v>287.11</v>
      </c>
      <c r="F226" s="7">
        <v>91.15</v>
      </c>
      <c r="G226" s="7">
        <v>0</v>
      </c>
      <c r="H226" s="7">
        <v>0</v>
      </c>
      <c r="I226" s="7">
        <v>0</v>
      </c>
      <c r="J226" s="7">
        <f>SUM(D226:H226)</f>
        <v>6705.9199999999992</v>
      </c>
      <c r="K226" s="1"/>
      <c r="L226" s="1"/>
    </row>
    <row r="227" spans="1:12">
      <c r="A227" s="1"/>
      <c r="B227" s="1"/>
      <c r="C227" s="1" t="s">
        <v>13</v>
      </c>
      <c r="D227" s="7">
        <v>204.39</v>
      </c>
      <c r="E227" s="7">
        <v>6.1</v>
      </c>
      <c r="F227" s="7">
        <v>2.06</v>
      </c>
      <c r="G227" s="7">
        <v>0</v>
      </c>
      <c r="H227" s="7">
        <v>0</v>
      </c>
      <c r="I227" s="7">
        <v>0</v>
      </c>
      <c r="J227" s="7">
        <f>SUM(D227:H227)</f>
        <v>212.54999999999998</v>
      </c>
      <c r="K227" s="1"/>
      <c r="L227" s="1"/>
    </row>
    <row r="228" spans="1:12">
      <c r="A228" s="1"/>
      <c r="B228" s="1"/>
      <c r="C228" s="1"/>
      <c r="D228" s="7"/>
      <c r="E228" s="7"/>
      <c r="F228" s="7"/>
      <c r="G228" s="7"/>
      <c r="H228" s="7"/>
      <c r="I228" s="7"/>
      <c r="J228" s="7"/>
      <c r="K228" s="1"/>
      <c r="L228" s="1"/>
    </row>
    <row r="229" spans="1:12">
      <c r="A229" s="1"/>
      <c r="B229" s="1"/>
      <c r="C229" s="1" t="s">
        <v>10</v>
      </c>
      <c r="D229" s="7">
        <f>SUM(D226:D227)</f>
        <v>6532.05</v>
      </c>
      <c r="E229" s="7">
        <f>SUM(E226:E227)</f>
        <v>293.21000000000004</v>
      </c>
      <c r="F229" s="7">
        <f>SUM(F226:F227)</f>
        <v>93.210000000000008</v>
      </c>
      <c r="G229" s="7">
        <f>SUM(G226:G227)</f>
        <v>0</v>
      </c>
      <c r="H229" s="7">
        <f>SUM(H226:H227)</f>
        <v>0</v>
      </c>
      <c r="I229" s="7">
        <v>0</v>
      </c>
      <c r="J229" s="7">
        <f>SUM(D229:H229)</f>
        <v>6918.47</v>
      </c>
      <c r="K229" s="1"/>
      <c r="L229" s="1"/>
    </row>
    <row r="230" spans="1:12">
      <c r="A230" s="1"/>
      <c r="B230" s="1"/>
      <c r="C230" s="1"/>
      <c r="D230" s="7"/>
      <c r="E230" s="7"/>
      <c r="F230" s="7"/>
      <c r="G230" s="7"/>
      <c r="H230" s="7"/>
      <c r="I230" s="7"/>
      <c r="J230" s="7"/>
      <c r="K230" s="1"/>
      <c r="L230" s="1"/>
    </row>
    <row r="231" spans="1:12">
      <c r="A231" s="1"/>
      <c r="B231" s="1"/>
      <c r="C231" s="1"/>
      <c r="D231" s="7"/>
      <c r="E231" s="7"/>
      <c r="F231" s="7"/>
      <c r="G231" s="7"/>
      <c r="H231" s="7"/>
      <c r="I231" s="7"/>
      <c r="J231" s="7"/>
      <c r="K231" s="1"/>
      <c r="L231" s="1"/>
    </row>
    <row r="232" spans="1:12">
      <c r="A232" s="1">
        <v>59</v>
      </c>
      <c r="B232" s="1" t="s">
        <v>54</v>
      </c>
      <c r="C232" s="1" t="s">
        <v>12</v>
      </c>
      <c r="D232" s="7">
        <v>10333.32</v>
      </c>
      <c r="E232" s="7">
        <v>262.16000000000003</v>
      </c>
      <c r="F232" s="7">
        <v>38.93</v>
      </c>
      <c r="G232" s="7">
        <v>0</v>
      </c>
      <c r="H232" s="7">
        <v>0</v>
      </c>
      <c r="I232" s="7">
        <v>0</v>
      </c>
      <c r="J232" s="7">
        <f>SUM(D232:H232)</f>
        <v>10634.41</v>
      </c>
      <c r="K232" s="1"/>
      <c r="L232" s="1"/>
    </row>
    <row r="233" spans="1:12">
      <c r="A233" s="1"/>
      <c r="B233" s="1"/>
      <c r="C233" s="1" t="s">
        <v>35</v>
      </c>
      <c r="D233" s="7">
        <v>573.85</v>
      </c>
      <c r="E233" s="7">
        <v>15.05</v>
      </c>
      <c r="F233" s="7">
        <v>2.5</v>
      </c>
      <c r="G233" s="7">
        <v>0</v>
      </c>
      <c r="H233" s="7">
        <v>0</v>
      </c>
      <c r="I233" s="7">
        <v>0</v>
      </c>
      <c r="J233" s="7">
        <f>SUM(D233:H233)</f>
        <v>591.4</v>
      </c>
      <c r="K233" s="1"/>
      <c r="L233" s="1"/>
    </row>
    <row r="234" spans="1:12">
      <c r="A234" s="1"/>
      <c r="B234" s="1"/>
      <c r="C234" s="1"/>
      <c r="D234" s="7"/>
      <c r="E234" s="7"/>
      <c r="F234" s="7"/>
      <c r="G234" s="7"/>
      <c r="H234" s="7"/>
      <c r="I234" s="7"/>
      <c r="J234" s="7"/>
      <c r="K234" s="1"/>
      <c r="L234" s="1"/>
    </row>
    <row r="235" spans="1:12">
      <c r="A235" s="1"/>
      <c r="B235" s="1"/>
      <c r="C235" s="1" t="s">
        <v>10</v>
      </c>
      <c r="D235" s="7">
        <f t="shared" ref="D235:I235" si="19">SUM(D232:D233)</f>
        <v>10907.17</v>
      </c>
      <c r="E235" s="7">
        <f t="shared" si="19"/>
        <v>277.21000000000004</v>
      </c>
      <c r="F235" s="7">
        <f t="shared" si="19"/>
        <v>41.43</v>
      </c>
      <c r="G235" s="7">
        <f t="shared" si="19"/>
        <v>0</v>
      </c>
      <c r="H235" s="7">
        <f t="shared" si="19"/>
        <v>0</v>
      </c>
      <c r="I235" s="7">
        <f t="shared" si="19"/>
        <v>0</v>
      </c>
      <c r="J235" s="7">
        <f>SUM(D235:H235)</f>
        <v>11225.810000000001</v>
      </c>
      <c r="K235" s="1"/>
      <c r="L235" s="1"/>
    </row>
    <row r="236" spans="1:12">
      <c r="A236" s="1"/>
      <c r="B236" s="1"/>
      <c r="C236" s="1"/>
      <c r="D236" s="7"/>
      <c r="E236" s="7"/>
      <c r="F236" s="7"/>
      <c r="G236" s="7"/>
      <c r="H236" s="7"/>
      <c r="I236" s="7"/>
      <c r="J236" s="7"/>
      <c r="K236" s="1"/>
      <c r="L236" s="1"/>
    </row>
    <row r="237" spans="1:12">
      <c r="A237" s="1"/>
      <c r="B237" s="1"/>
      <c r="C237" s="1"/>
      <c r="D237" s="7"/>
      <c r="E237" s="7"/>
      <c r="F237" s="7"/>
      <c r="G237" s="7"/>
      <c r="H237" s="7"/>
      <c r="I237" s="7"/>
      <c r="J237" s="7"/>
      <c r="K237" s="1"/>
      <c r="L237" s="1"/>
    </row>
    <row r="238" spans="1:12">
      <c r="A238" s="1">
        <v>60</v>
      </c>
      <c r="B238" s="1" t="s">
        <v>55</v>
      </c>
      <c r="C238" s="1" t="s">
        <v>12</v>
      </c>
      <c r="D238" s="7">
        <v>28245.85</v>
      </c>
      <c r="E238" s="7">
        <v>494.91</v>
      </c>
      <c r="F238" s="7">
        <v>204.9</v>
      </c>
      <c r="G238" s="7">
        <v>143.94999999999999</v>
      </c>
      <c r="H238" s="7">
        <v>117.09</v>
      </c>
      <c r="I238" s="7">
        <v>0</v>
      </c>
      <c r="J238" s="7">
        <f>SUM(D238:H238)</f>
        <v>29206.7</v>
      </c>
      <c r="K238" s="1"/>
      <c r="L238" s="1"/>
    </row>
    <row r="239" spans="1:12">
      <c r="A239" s="1"/>
      <c r="B239" s="1"/>
      <c r="C239" s="1"/>
      <c r="D239" s="7"/>
      <c r="E239" s="7"/>
      <c r="F239" s="7"/>
      <c r="G239" s="7"/>
      <c r="H239" s="7"/>
      <c r="I239" s="7"/>
      <c r="J239" s="7">
        <f>SUM(D239:H239)</f>
        <v>0</v>
      </c>
      <c r="K239" s="1"/>
      <c r="L239" s="1"/>
    </row>
    <row r="240" spans="1:12">
      <c r="A240" s="1"/>
      <c r="B240" s="1"/>
      <c r="C240" s="1" t="s">
        <v>10</v>
      </c>
      <c r="D240" s="7">
        <f>SUM(D238:D239)</f>
        <v>28245.85</v>
      </c>
      <c r="E240" s="7">
        <f>SUM(E238:E239)</f>
        <v>494.91</v>
      </c>
      <c r="F240" s="7">
        <f>SUM(F238:F239)</f>
        <v>204.9</v>
      </c>
      <c r="G240" s="7">
        <f>SUM(G238:G239)</f>
        <v>143.94999999999999</v>
      </c>
      <c r="H240" s="7">
        <f>SUM(H238:H239)</f>
        <v>117.09</v>
      </c>
      <c r="I240" s="7">
        <v>0</v>
      </c>
      <c r="J240" s="7">
        <f>SUM(D240:H240)</f>
        <v>29206.7</v>
      </c>
      <c r="K240" s="1"/>
      <c r="L240" s="1"/>
    </row>
    <row r="241" spans="1:12">
      <c r="A241" s="1"/>
      <c r="B241" s="1"/>
      <c r="C241" s="1"/>
      <c r="D241" s="7"/>
      <c r="E241" s="7"/>
      <c r="F241" s="7"/>
      <c r="G241" s="7"/>
      <c r="H241" s="7"/>
      <c r="I241" s="7"/>
      <c r="J241" s="7"/>
      <c r="K241" s="1"/>
      <c r="L241" s="1"/>
    </row>
    <row r="242" spans="1:12">
      <c r="A242" s="1"/>
      <c r="B242" s="1"/>
      <c r="C242" s="1"/>
      <c r="D242" s="7"/>
      <c r="E242" s="7"/>
      <c r="F242" s="7"/>
      <c r="G242" s="7"/>
      <c r="H242" s="7"/>
      <c r="I242" s="7"/>
      <c r="J242" s="7"/>
      <c r="K242" s="1"/>
      <c r="L242" s="1"/>
    </row>
    <row r="243" spans="1:12">
      <c r="A243" s="1">
        <v>61</v>
      </c>
      <c r="B243" s="1" t="s">
        <v>56</v>
      </c>
      <c r="C243" s="1" t="s">
        <v>12</v>
      </c>
      <c r="D243" s="7">
        <v>8118.28</v>
      </c>
      <c r="E243" s="7">
        <v>56.54</v>
      </c>
      <c r="F243" s="7">
        <v>51.85</v>
      </c>
      <c r="G243" s="7">
        <v>0</v>
      </c>
      <c r="H243" s="7">
        <v>0</v>
      </c>
      <c r="I243" s="7">
        <v>0</v>
      </c>
      <c r="J243" s="7">
        <f>SUM(D243:H243)</f>
        <v>8226.67</v>
      </c>
      <c r="K243" s="1"/>
      <c r="L243" s="1"/>
    </row>
    <row r="244" spans="1:12">
      <c r="A244" s="1"/>
      <c r="B244" s="1"/>
      <c r="C244" s="1" t="s">
        <v>13</v>
      </c>
      <c r="D244" s="7">
        <v>124.74</v>
      </c>
      <c r="E244" s="7">
        <v>0.88</v>
      </c>
      <c r="F244" s="7">
        <v>0.91</v>
      </c>
      <c r="G244" s="7">
        <v>0</v>
      </c>
      <c r="H244" s="7">
        <v>0</v>
      </c>
      <c r="I244" s="7">
        <v>0</v>
      </c>
      <c r="J244" s="7">
        <f>SUM(D244:H244)</f>
        <v>126.52999999999999</v>
      </c>
      <c r="K244" s="1"/>
      <c r="L244" s="1"/>
    </row>
    <row r="245" spans="1:12">
      <c r="A245" s="1"/>
      <c r="B245" s="1"/>
      <c r="C245" s="1"/>
      <c r="D245" s="7"/>
      <c r="E245" s="7"/>
      <c r="F245" s="7"/>
      <c r="G245" s="7"/>
      <c r="H245" s="7"/>
      <c r="I245" s="7"/>
      <c r="J245" s="7"/>
      <c r="K245" s="1"/>
      <c r="L245" s="1"/>
    </row>
    <row r="246" spans="1:12">
      <c r="A246" s="1"/>
      <c r="B246" s="1"/>
      <c r="C246" s="1" t="s">
        <v>10</v>
      </c>
      <c r="D246" s="7">
        <f>SUM(D243:D244)</f>
        <v>8243.02</v>
      </c>
      <c r="E246" s="7">
        <f>SUM(E243:E244)</f>
        <v>57.42</v>
      </c>
      <c r="F246" s="7">
        <f>SUM(F243:F244)</f>
        <v>52.76</v>
      </c>
      <c r="G246" s="7">
        <f>SUM(G243:G244)</f>
        <v>0</v>
      </c>
      <c r="H246" s="7">
        <f>SUM(H243:H244)</f>
        <v>0</v>
      </c>
      <c r="I246" s="7">
        <v>0</v>
      </c>
      <c r="J246" s="7">
        <f>SUM(D246:H246)</f>
        <v>8353.2000000000007</v>
      </c>
      <c r="K246" s="1"/>
      <c r="L246" s="1"/>
    </row>
    <row r="247" spans="1:12">
      <c r="A247" s="1"/>
      <c r="B247" s="1"/>
      <c r="C247" s="1"/>
      <c r="D247" s="7"/>
      <c r="E247" s="7"/>
      <c r="F247" s="7"/>
      <c r="G247" s="7"/>
      <c r="H247" s="7"/>
      <c r="I247" s="7"/>
      <c r="J247" s="7"/>
      <c r="K247" s="1"/>
      <c r="L247" s="1"/>
    </row>
    <row r="248" spans="1:12">
      <c r="A248" s="1"/>
      <c r="B248" s="1"/>
      <c r="C248" s="1"/>
      <c r="D248" s="7"/>
      <c r="E248" s="7"/>
      <c r="F248" s="7"/>
      <c r="G248" s="7"/>
      <c r="H248" s="7"/>
      <c r="I248" s="7"/>
      <c r="J248" s="7"/>
      <c r="K248" s="1"/>
      <c r="L248" s="1"/>
    </row>
    <row r="249" spans="1:12">
      <c r="A249" s="1">
        <v>62</v>
      </c>
      <c r="B249" s="1" t="s">
        <v>57</v>
      </c>
      <c r="C249" s="1" t="s">
        <v>12</v>
      </c>
      <c r="D249" s="7">
        <v>4710.05</v>
      </c>
      <c r="E249" s="7">
        <v>215.37</v>
      </c>
      <c r="F249" s="7">
        <v>159.62</v>
      </c>
      <c r="G249" s="7">
        <v>168.12</v>
      </c>
      <c r="H249" s="7">
        <v>80.180000000000007</v>
      </c>
      <c r="I249" s="7">
        <v>0</v>
      </c>
      <c r="J249" s="7">
        <f>SUM(D249:H249)</f>
        <v>5333.34</v>
      </c>
      <c r="K249" s="1"/>
      <c r="L249" s="1"/>
    </row>
    <row r="250" spans="1:12">
      <c r="A250" s="1"/>
      <c r="B250" s="1"/>
      <c r="C250" s="1" t="s">
        <v>13</v>
      </c>
      <c r="D250" s="7">
        <v>104.82</v>
      </c>
      <c r="E250" s="7">
        <v>5.14</v>
      </c>
      <c r="F250" s="7">
        <v>3.59</v>
      </c>
      <c r="G250" s="7">
        <v>3.79</v>
      </c>
      <c r="H250" s="7">
        <v>1.82</v>
      </c>
      <c r="I250" s="7">
        <v>0</v>
      </c>
      <c r="J250" s="7">
        <f>SUM(D250:H250)</f>
        <v>119.16</v>
      </c>
      <c r="K250" s="1"/>
      <c r="L250" s="1"/>
    </row>
    <row r="251" spans="1:12">
      <c r="A251" s="1"/>
      <c r="B251" s="1"/>
      <c r="C251" s="1"/>
      <c r="D251" s="7"/>
      <c r="E251" s="7"/>
      <c r="F251" s="7"/>
      <c r="G251" s="7"/>
      <c r="H251" s="7"/>
      <c r="I251" s="7"/>
      <c r="J251" s="7"/>
      <c r="K251" s="1"/>
      <c r="L251" s="1"/>
    </row>
    <row r="252" spans="1:12">
      <c r="A252" s="1"/>
      <c r="B252" s="1"/>
      <c r="C252" s="1" t="s">
        <v>10</v>
      </c>
      <c r="D252" s="7">
        <f>SUM(D249:D250)</f>
        <v>4814.87</v>
      </c>
      <c r="E252" s="7">
        <f>SUM(E249:E250)</f>
        <v>220.51</v>
      </c>
      <c r="F252" s="7">
        <f>SUM(F249:F250)</f>
        <v>163.21</v>
      </c>
      <c r="G252" s="7">
        <f>SUM(G249:G250)</f>
        <v>171.91</v>
      </c>
      <c r="H252" s="7">
        <f>SUM(H249:H250)</f>
        <v>82</v>
      </c>
      <c r="I252" s="7">
        <v>0</v>
      </c>
      <c r="J252" s="7">
        <f>SUM(D252:H252)</f>
        <v>5452.5</v>
      </c>
      <c r="K252" s="1"/>
      <c r="L252" s="1"/>
    </row>
    <row r="253" spans="1:12">
      <c r="A253" s="1"/>
      <c r="B253" s="1"/>
      <c r="C253" s="1"/>
      <c r="D253" s="7"/>
      <c r="E253" s="7"/>
      <c r="F253" s="7"/>
      <c r="G253" s="7"/>
      <c r="H253" s="7"/>
      <c r="I253" s="7"/>
      <c r="J253" s="7"/>
      <c r="K253" s="1"/>
      <c r="L253" s="1"/>
    </row>
    <row r="254" spans="1:12">
      <c r="A254" s="1"/>
      <c r="B254" s="1"/>
      <c r="C254" s="1"/>
      <c r="D254" s="7"/>
      <c r="E254" s="7"/>
      <c r="F254" s="7"/>
      <c r="G254" s="7"/>
      <c r="H254" s="7"/>
      <c r="I254" s="7"/>
      <c r="J254" s="7"/>
      <c r="K254" s="1"/>
      <c r="L254" s="1"/>
    </row>
    <row r="255" spans="1:12">
      <c r="A255" s="1">
        <v>63</v>
      </c>
      <c r="B255" s="1" t="s">
        <v>58</v>
      </c>
      <c r="C255" s="1" t="s">
        <v>12</v>
      </c>
      <c r="D255" s="7">
        <v>6597.51</v>
      </c>
      <c r="E255" s="7">
        <v>457.51</v>
      </c>
      <c r="F255" s="7">
        <v>367</v>
      </c>
      <c r="G255" s="7">
        <v>284.83</v>
      </c>
      <c r="H255" s="7">
        <v>0</v>
      </c>
      <c r="I255" s="7">
        <v>0</v>
      </c>
      <c r="J255" s="7">
        <f>SUM(D255:H255)</f>
        <v>7706.85</v>
      </c>
      <c r="K255" s="1"/>
      <c r="L255" s="1"/>
    </row>
    <row r="256" spans="1:12">
      <c r="A256" s="1"/>
      <c r="B256" s="1"/>
      <c r="C256" s="1" t="s">
        <v>13</v>
      </c>
      <c r="D256" s="7">
        <v>453.56</v>
      </c>
      <c r="E256" s="7">
        <v>31.84</v>
      </c>
      <c r="F256" s="7">
        <v>25.06</v>
      </c>
      <c r="G256" s="7">
        <v>12.32</v>
      </c>
      <c r="H256" s="7">
        <v>0</v>
      </c>
      <c r="I256" s="7">
        <v>0</v>
      </c>
      <c r="J256" s="7">
        <f>SUM(D256:H256)</f>
        <v>522.78</v>
      </c>
      <c r="K256" s="1"/>
      <c r="L256" s="1"/>
    </row>
    <row r="257" spans="1:12">
      <c r="A257" s="1"/>
      <c r="B257" s="1"/>
      <c r="C257" s="1"/>
      <c r="D257" s="7"/>
      <c r="E257" s="7"/>
      <c r="F257" s="7"/>
      <c r="G257" s="7"/>
      <c r="H257" s="7"/>
      <c r="I257" s="7"/>
      <c r="J257" s="7"/>
      <c r="K257" s="1"/>
      <c r="L257" s="1"/>
    </row>
    <row r="258" spans="1:12">
      <c r="A258" s="1"/>
      <c r="B258" s="1"/>
      <c r="C258" s="1" t="s">
        <v>10</v>
      </c>
      <c r="D258" s="7">
        <f>SUM(D255:D256)</f>
        <v>7051.0700000000006</v>
      </c>
      <c r="E258" s="7">
        <f>SUM(E255:E256)</f>
        <v>489.34999999999997</v>
      </c>
      <c r="F258" s="7">
        <f>SUM(F255:F256)</f>
        <v>392.06</v>
      </c>
      <c r="G258" s="7">
        <f>SUM(G255:G256)</f>
        <v>297.14999999999998</v>
      </c>
      <c r="H258" s="7">
        <f>SUM(H255:H256)</f>
        <v>0</v>
      </c>
      <c r="I258" s="7">
        <v>0</v>
      </c>
      <c r="J258" s="7">
        <f>SUM(D258:H258)</f>
        <v>8229.630000000001</v>
      </c>
      <c r="K258" s="1"/>
      <c r="L258" s="1"/>
    </row>
    <row r="259" spans="1:12">
      <c r="A259" s="1"/>
      <c r="B259" s="1"/>
      <c r="C259" s="1"/>
      <c r="D259" s="7"/>
      <c r="E259" s="7"/>
      <c r="F259" s="7"/>
      <c r="G259" s="7"/>
      <c r="H259" s="7"/>
      <c r="I259" s="7"/>
      <c r="J259" s="7"/>
      <c r="K259" s="1"/>
      <c r="L259" s="1"/>
    </row>
    <row r="260" spans="1:12">
      <c r="A260" s="1"/>
      <c r="B260" s="1"/>
      <c r="C260" s="1"/>
      <c r="D260" s="7"/>
      <c r="E260" s="7"/>
      <c r="F260" s="7"/>
      <c r="G260" s="7"/>
      <c r="H260" s="7"/>
      <c r="I260" s="7"/>
      <c r="J260" s="7"/>
      <c r="K260" s="1"/>
      <c r="L260" s="1"/>
    </row>
    <row r="261" spans="1:12">
      <c r="A261" s="1">
        <v>64</v>
      </c>
      <c r="B261" s="1" t="s">
        <v>59</v>
      </c>
      <c r="C261" s="1" t="s">
        <v>12</v>
      </c>
      <c r="D261" s="7">
        <v>27829.3</v>
      </c>
      <c r="E261" s="7">
        <v>627.64</v>
      </c>
      <c r="F261" s="7">
        <v>389.29</v>
      </c>
      <c r="G261" s="7">
        <v>284.61</v>
      </c>
      <c r="H261" s="7">
        <v>144.5</v>
      </c>
      <c r="I261" s="7">
        <v>0</v>
      </c>
      <c r="J261" s="7">
        <f>SUM(D261:H261)</f>
        <v>29275.34</v>
      </c>
      <c r="K261" s="1"/>
      <c r="L261" s="1"/>
    </row>
    <row r="262" spans="1:12">
      <c r="A262" s="1"/>
      <c r="B262" s="1"/>
      <c r="C262" s="1"/>
      <c r="D262" s="7"/>
      <c r="E262" s="7"/>
      <c r="F262" s="7"/>
      <c r="G262" s="7"/>
      <c r="H262" s="7"/>
      <c r="I262" s="7"/>
      <c r="J262" s="7">
        <f>SUM(D262:H262)</f>
        <v>0</v>
      </c>
      <c r="K262" s="1"/>
      <c r="L262" s="1"/>
    </row>
    <row r="263" spans="1:12">
      <c r="A263" s="1"/>
      <c r="B263" s="1"/>
      <c r="C263" s="1" t="s">
        <v>10</v>
      </c>
      <c r="D263" s="7">
        <f>SUM(D261:D262)</f>
        <v>27829.3</v>
      </c>
      <c r="E263" s="7">
        <f>SUM(E261:E262)</f>
        <v>627.64</v>
      </c>
      <c r="F263" s="7">
        <f>SUM(F261:F262)</f>
        <v>389.29</v>
      </c>
      <c r="G263" s="7">
        <f>SUM(G261:G262)</f>
        <v>284.61</v>
      </c>
      <c r="H263" s="7">
        <f>SUM(H261:H262)</f>
        <v>144.5</v>
      </c>
      <c r="I263" s="7">
        <v>0</v>
      </c>
      <c r="J263" s="7">
        <f>SUM(D263:H263)</f>
        <v>29275.34</v>
      </c>
      <c r="K263" s="1"/>
      <c r="L263" s="1"/>
    </row>
    <row r="264" spans="1:12">
      <c r="A264" s="1"/>
      <c r="B264" s="1"/>
      <c r="C264" s="1"/>
      <c r="D264" s="7"/>
      <c r="E264" s="7"/>
      <c r="F264" s="7"/>
      <c r="G264" s="7"/>
      <c r="H264" s="7"/>
      <c r="I264" s="7"/>
      <c r="J264" s="7"/>
      <c r="K264" s="1"/>
      <c r="L264" s="1"/>
    </row>
    <row r="265" spans="1:12">
      <c r="A265" s="1"/>
      <c r="B265" s="1"/>
      <c r="C265" s="1"/>
      <c r="D265" s="7"/>
      <c r="E265" s="7"/>
      <c r="F265" s="7"/>
      <c r="G265" s="7"/>
      <c r="H265" s="7"/>
      <c r="I265" s="7"/>
      <c r="J265" s="7"/>
      <c r="K265" s="1"/>
      <c r="L265" s="1"/>
    </row>
    <row r="266" spans="1:12">
      <c r="A266" s="1">
        <v>65</v>
      </c>
      <c r="B266" s="1" t="s">
        <v>60</v>
      </c>
      <c r="C266" s="1" t="s">
        <v>12</v>
      </c>
      <c r="D266" s="7">
        <v>3646.87</v>
      </c>
      <c r="E266" s="7">
        <v>86.02</v>
      </c>
      <c r="F266" s="7">
        <v>0</v>
      </c>
      <c r="G266" s="7">
        <v>0</v>
      </c>
      <c r="H266" s="7">
        <v>0</v>
      </c>
      <c r="I266" s="7">
        <v>0</v>
      </c>
      <c r="J266" s="7">
        <f>SUM(D266:H266)</f>
        <v>3732.89</v>
      </c>
      <c r="K266" s="1"/>
      <c r="L266" s="1"/>
    </row>
    <row r="267" spans="1:12">
      <c r="A267" s="1"/>
      <c r="B267" s="4"/>
      <c r="C267" s="4" t="s">
        <v>13</v>
      </c>
      <c r="D267" s="5"/>
      <c r="E267" s="5"/>
      <c r="F267" s="5">
        <v>0</v>
      </c>
      <c r="G267" s="5">
        <v>0</v>
      </c>
      <c r="H267" s="6">
        <v>0</v>
      </c>
      <c r="I267" s="6">
        <v>0</v>
      </c>
      <c r="J267" s="5">
        <f>SUM(D267:H267)</f>
        <v>0</v>
      </c>
      <c r="K267" s="1"/>
      <c r="L267" s="1"/>
    </row>
    <row r="268" spans="1:12">
      <c r="A268" s="1"/>
      <c r="B268" s="1"/>
      <c r="C268" s="1"/>
      <c r="D268" s="7"/>
      <c r="E268" s="7"/>
      <c r="F268" s="7"/>
      <c r="G268" s="7"/>
      <c r="H268" s="7"/>
      <c r="I268" s="7"/>
      <c r="J268" s="7"/>
      <c r="K268" s="1"/>
      <c r="L268" s="1"/>
    </row>
    <row r="269" spans="1:12">
      <c r="A269" s="1"/>
      <c r="B269" s="1"/>
      <c r="C269" s="1" t="s">
        <v>10</v>
      </c>
      <c r="D269" s="7">
        <f>SUM(D266:D267)</f>
        <v>3646.87</v>
      </c>
      <c r="E269" s="7">
        <f>SUM(E266:E267)</f>
        <v>86.02</v>
      </c>
      <c r="F269" s="7">
        <f>SUM(F266:F267)</f>
        <v>0</v>
      </c>
      <c r="G269" s="7">
        <f>SUM(G266:G267)</f>
        <v>0</v>
      </c>
      <c r="H269" s="7">
        <f>SUM(H266:H267)</f>
        <v>0</v>
      </c>
      <c r="I269" s="7">
        <v>0</v>
      </c>
      <c r="J269" s="7">
        <f>SUM(D269:H269)</f>
        <v>3732.89</v>
      </c>
      <c r="K269" s="1"/>
      <c r="L269" s="1"/>
    </row>
    <row r="270" spans="1:12">
      <c r="A270" s="1"/>
      <c r="B270" s="1"/>
      <c r="C270" s="1"/>
      <c r="D270" s="7"/>
      <c r="E270" s="7"/>
      <c r="F270" s="7"/>
      <c r="G270" s="7"/>
      <c r="H270" s="7"/>
      <c r="I270" s="7"/>
      <c r="J270" s="7"/>
      <c r="K270" s="1"/>
      <c r="L270" s="1"/>
    </row>
    <row r="271" spans="1:12">
      <c r="A271" s="1"/>
      <c r="B271" s="1"/>
      <c r="C271" s="1"/>
      <c r="D271" s="7"/>
      <c r="E271" s="7"/>
      <c r="F271" s="7"/>
      <c r="G271" s="7"/>
      <c r="H271" s="7"/>
      <c r="I271" s="7"/>
      <c r="J271" s="7"/>
      <c r="K271" s="1"/>
      <c r="L271" s="1"/>
    </row>
    <row r="272" spans="1:12">
      <c r="A272" s="1">
        <v>66</v>
      </c>
      <c r="B272" s="1" t="s">
        <v>61</v>
      </c>
      <c r="C272" s="1" t="s">
        <v>12</v>
      </c>
      <c r="D272" s="7">
        <v>8109.48</v>
      </c>
      <c r="E272" s="7">
        <v>522.72</v>
      </c>
      <c r="F272" s="7">
        <v>439.17</v>
      </c>
      <c r="G272" s="7">
        <v>431.2</v>
      </c>
      <c r="H272" s="7">
        <v>381.64</v>
      </c>
      <c r="I272" s="7">
        <v>0</v>
      </c>
      <c r="J272" s="7">
        <f>SUM(D272:H272)</f>
        <v>9884.2099999999991</v>
      </c>
      <c r="K272" s="1"/>
      <c r="L272" s="1"/>
    </row>
    <row r="273" spans="1:12">
      <c r="A273" s="1"/>
      <c r="B273" s="1"/>
      <c r="C273" s="1" t="s">
        <v>13</v>
      </c>
      <c r="D273" s="7">
        <v>132.63999999999999</v>
      </c>
      <c r="E273" s="7">
        <v>34.67</v>
      </c>
      <c r="F273" s="7">
        <v>43.42</v>
      </c>
      <c r="G273" s="7">
        <v>42.71</v>
      </c>
      <c r="H273" s="7">
        <v>18.809999999999999</v>
      </c>
      <c r="I273" s="7">
        <v>0</v>
      </c>
      <c r="J273" s="7">
        <f>SUM(D273:H273)</f>
        <v>272.25</v>
      </c>
      <c r="K273" s="1"/>
      <c r="L273" s="1"/>
    </row>
    <row r="274" spans="1:12">
      <c r="A274" s="1"/>
      <c r="B274" s="1"/>
      <c r="C274" s="1" t="s">
        <v>73</v>
      </c>
      <c r="D274" s="7">
        <v>531.38</v>
      </c>
      <c r="E274" s="7">
        <v>34.76</v>
      </c>
      <c r="F274" s="7">
        <v>29.08</v>
      </c>
      <c r="G274" s="7"/>
      <c r="H274" s="7"/>
      <c r="I274" s="7"/>
      <c r="J274" s="7">
        <f>SUM(D274:H274)</f>
        <v>595.22</v>
      </c>
      <c r="K274" s="1"/>
      <c r="L274" s="1"/>
    </row>
    <row r="275" spans="1:12">
      <c r="A275" s="1"/>
      <c r="B275" s="1"/>
      <c r="C275" s="1"/>
      <c r="D275" s="7"/>
      <c r="E275" s="7"/>
      <c r="F275" s="7"/>
      <c r="G275" s="7"/>
      <c r="H275" s="7"/>
      <c r="I275" s="7"/>
      <c r="J275" s="7"/>
      <c r="K275" s="1"/>
      <c r="L275" s="1"/>
    </row>
    <row r="276" spans="1:12">
      <c r="A276" s="1"/>
      <c r="B276" s="1"/>
      <c r="C276" s="1" t="s">
        <v>10</v>
      </c>
      <c r="D276" s="1">
        <f t="shared" ref="D276:I276" si="20">SUM(D272:D274)</f>
        <v>8773.4999999999982</v>
      </c>
      <c r="E276" s="1">
        <f t="shared" si="20"/>
        <v>592.15</v>
      </c>
      <c r="F276" s="1">
        <f t="shared" si="20"/>
        <v>511.67</v>
      </c>
      <c r="G276" s="1">
        <f t="shared" si="20"/>
        <v>473.90999999999997</v>
      </c>
      <c r="H276" s="1">
        <f t="shared" si="20"/>
        <v>400.45</v>
      </c>
      <c r="I276" s="1">
        <f t="shared" si="20"/>
        <v>0</v>
      </c>
      <c r="J276" s="7">
        <f>SUM(D276:H276)</f>
        <v>10751.679999999998</v>
      </c>
      <c r="K276" s="1"/>
      <c r="L276" s="1"/>
    </row>
    <row r="277" spans="1:12">
      <c r="A277" s="1"/>
      <c r="B277" s="1"/>
      <c r="C277" s="1"/>
      <c r="D277" s="1"/>
      <c r="E277" s="1"/>
      <c r="F277" s="1"/>
      <c r="G277" s="1"/>
      <c r="H277" s="1"/>
      <c r="I277" s="1"/>
      <c r="J277" s="7"/>
      <c r="K277" s="1"/>
      <c r="L277" s="1"/>
    </row>
    <row r="278" spans="1:12">
      <c r="A278" s="1"/>
      <c r="B278" s="1"/>
      <c r="C278" s="1"/>
      <c r="D278" s="7"/>
      <c r="E278" s="7"/>
      <c r="F278" s="7"/>
      <c r="G278" s="7"/>
      <c r="H278" s="7"/>
      <c r="I278" s="7"/>
      <c r="J278" s="7"/>
      <c r="K278" s="1"/>
      <c r="L278" s="1"/>
    </row>
    <row r="279" spans="1:12">
      <c r="A279" s="1">
        <v>67</v>
      </c>
      <c r="B279" s="1" t="s">
        <v>62</v>
      </c>
      <c r="C279" s="1" t="s">
        <v>12</v>
      </c>
      <c r="D279" s="7">
        <v>4301.3500000000004</v>
      </c>
      <c r="E279" s="7">
        <v>201.63</v>
      </c>
      <c r="F279" s="7">
        <v>88.82</v>
      </c>
      <c r="G279" s="7">
        <v>15.39</v>
      </c>
      <c r="H279" s="7">
        <v>0</v>
      </c>
      <c r="I279" s="7">
        <v>0</v>
      </c>
      <c r="J279" s="7">
        <f>SUM(D279:H279)</f>
        <v>4607.1900000000005</v>
      </c>
      <c r="K279" s="1"/>
      <c r="L279" s="1"/>
    </row>
    <row r="280" spans="1:12">
      <c r="A280" s="1"/>
      <c r="B280" s="1"/>
      <c r="C280" s="1" t="s">
        <v>13</v>
      </c>
      <c r="D280" s="7">
        <v>107.78</v>
      </c>
      <c r="E280" s="7">
        <v>4.75</v>
      </c>
      <c r="F280" s="7">
        <v>2.3199999999999998</v>
      </c>
      <c r="G280" s="7">
        <v>0.2</v>
      </c>
      <c r="H280" s="7">
        <v>0</v>
      </c>
      <c r="I280" s="7">
        <v>0</v>
      </c>
      <c r="J280" s="7">
        <f>SUM(D280:H280)</f>
        <v>115.05</v>
      </c>
      <c r="K280" s="1"/>
      <c r="L280" s="1"/>
    </row>
    <row r="281" spans="1:12">
      <c r="A281" s="1"/>
      <c r="B281" s="1"/>
      <c r="C281" s="1"/>
      <c r="D281" s="7"/>
      <c r="E281" s="7"/>
      <c r="F281" s="7"/>
      <c r="G281" s="7"/>
      <c r="H281" s="7"/>
      <c r="I281" s="7"/>
      <c r="J281" s="7"/>
      <c r="K281" s="1"/>
      <c r="L281" s="1"/>
    </row>
    <row r="282" spans="1:12">
      <c r="A282" s="1"/>
      <c r="B282" s="1"/>
      <c r="C282" s="1" t="s">
        <v>10</v>
      </c>
      <c r="D282" s="7">
        <f>SUM(D279:D280)</f>
        <v>4409.13</v>
      </c>
      <c r="E282" s="7">
        <f>SUM(E279:E280)</f>
        <v>206.38</v>
      </c>
      <c r="F282" s="7">
        <f>SUM(F279:F280)</f>
        <v>91.139999999999986</v>
      </c>
      <c r="G282" s="7">
        <f>SUM(G279:G280)</f>
        <v>15.59</v>
      </c>
      <c r="H282" s="7">
        <f>SUM(H279:H280)</f>
        <v>0</v>
      </c>
      <c r="I282" s="7">
        <v>0</v>
      </c>
      <c r="J282" s="7">
        <f>SUM(D282:H282)</f>
        <v>4722.2400000000007</v>
      </c>
      <c r="K282" s="1"/>
      <c r="L282" s="1"/>
    </row>
    <row r="283" spans="1:12">
      <c r="A283" s="1"/>
      <c r="B283" s="1"/>
      <c r="C283" s="1"/>
      <c r="D283" s="7"/>
      <c r="E283" s="7"/>
      <c r="F283" s="7"/>
      <c r="G283" s="7"/>
      <c r="H283" s="7"/>
      <c r="I283" s="7"/>
      <c r="J283" s="7"/>
      <c r="K283" s="1"/>
      <c r="L283" s="1"/>
    </row>
    <row r="284" spans="1:12">
      <c r="A284" s="1"/>
      <c r="B284" s="1"/>
      <c r="C284" s="1"/>
      <c r="D284" s="7"/>
      <c r="E284" s="7"/>
      <c r="F284" s="7"/>
      <c r="G284" s="7"/>
      <c r="H284" s="7"/>
      <c r="I284" s="7"/>
      <c r="J284" s="7"/>
      <c r="K284" s="1"/>
      <c r="L284" s="1"/>
    </row>
    <row r="285" spans="1:12">
      <c r="A285" s="1">
        <v>68</v>
      </c>
      <c r="B285" s="1" t="s">
        <v>63</v>
      </c>
      <c r="C285" s="1" t="s">
        <v>12</v>
      </c>
      <c r="D285" s="7">
        <v>6459</v>
      </c>
      <c r="E285" s="7">
        <v>73.2</v>
      </c>
      <c r="F285" s="7">
        <v>72.680000000000007</v>
      </c>
      <c r="G285" s="7">
        <v>73.010000000000005</v>
      </c>
      <c r="H285" s="7">
        <v>57.9</v>
      </c>
      <c r="I285" s="7">
        <v>0</v>
      </c>
      <c r="J285" s="7">
        <f>SUM(D285:H285)</f>
        <v>6735.79</v>
      </c>
      <c r="K285" s="1"/>
      <c r="L285" s="1"/>
    </row>
    <row r="286" spans="1:12">
      <c r="A286" s="1"/>
      <c r="B286" s="1"/>
      <c r="C286" s="1" t="s">
        <v>13</v>
      </c>
      <c r="D286" s="7">
        <v>546.36</v>
      </c>
      <c r="E286" s="7">
        <v>3.69</v>
      </c>
      <c r="F286" s="7">
        <v>5.69</v>
      </c>
      <c r="G286" s="7">
        <v>5.65</v>
      </c>
      <c r="H286" s="7">
        <v>2.41</v>
      </c>
      <c r="I286" s="7">
        <v>0</v>
      </c>
      <c r="J286" s="7">
        <f>SUM(D286:H286)</f>
        <v>563.80000000000007</v>
      </c>
      <c r="K286" s="1"/>
      <c r="L286" s="1"/>
    </row>
    <row r="287" spans="1:12">
      <c r="A287" s="1"/>
      <c r="B287" s="1"/>
      <c r="C287" s="1"/>
      <c r="D287" s="7"/>
      <c r="E287" s="7"/>
      <c r="F287" s="7"/>
      <c r="G287" s="7"/>
      <c r="H287" s="7"/>
      <c r="I287" s="7"/>
      <c r="J287" s="7"/>
      <c r="K287" s="1"/>
      <c r="L287" s="1"/>
    </row>
    <row r="288" spans="1:12">
      <c r="A288" s="1"/>
      <c r="B288" s="1"/>
      <c r="C288" s="1" t="s">
        <v>10</v>
      </c>
      <c r="D288" s="7">
        <f>SUM(D285:D286)</f>
        <v>7005.36</v>
      </c>
      <c r="E288" s="7">
        <f>SUM(E285:E286)</f>
        <v>76.89</v>
      </c>
      <c r="F288" s="7">
        <f>SUM(F285:F286)</f>
        <v>78.37</v>
      </c>
      <c r="G288" s="7">
        <f>SUM(G285:G286)</f>
        <v>78.660000000000011</v>
      </c>
      <c r="H288" s="7">
        <f>SUM(H285:H286)</f>
        <v>60.31</v>
      </c>
      <c r="I288" s="7">
        <v>0</v>
      </c>
      <c r="J288" s="7">
        <f>SUM(D288:H288)</f>
        <v>7299.59</v>
      </c>
      <c r="K288" s="1"/>
      <c r="L288" s="1"/>
    </row>
    <row r="289" spans="1:12">
      <c r="A289" s="1"/>
      <c r="B289" s="1"/>
      <c r="C289" s="1"/>
      <c r="D289" s="7"/>
      <c r="E289" s="7"/>
      <c r="F289" s="7"/>
      <c r="G289" s="7"/>
      <c r="H289" s="7"/>
      <c r="I289" s="7"/>
      <c r="J289" s="7"/>
      <c r="K289" s="1"/>
      <c r="L289" s="1"/>
    </row>
    <row r="290" spans="1:12">
      <c r="A290" s="1"/>
      <c r="B290" s="1"/>
      <c r="C290" s="1"/>
      <c r="D290" s="7"/>
      <c r="E290" s="7"/>
      <c r="F290" s="7"/>
      <c r="G290" s="7"/>
      <c r="H290" s="7"/>
      <c r="I290" s="7"/>
      <c r="J290" s="7"/>
      <c r="K290" s="1"/>
      <c r="L290" s="1"/>
    </row>
    <row r="291" spans="1:12">
      <c r="A291" s="1">
        <v>69</v>
      </c>
      <c r="B291" s="1" t="s">
        <v>64</v>
      </c>
      <c r="C291" s="1" t="s">
        <v>12</v>
      </c>
      <c r="D291" s="7">
        <v>8081.16</v>
      </c>
      <c r="E291" s="7">
        <v>193.64</v>
      </c>
      <c r="F291" s="7">
        <v>34.57</v>
      </c>
      <c r="G291" s="7">
        <v>17.48</v>
      </c>
      <c r="H291" s="7">
        <v>5.3</v>
      </c>
      <c r="I291" s="7">
        <v>0</v>
      </c>
      <c r="J291" s="7">
        <f>SUM(D291:H291)</f>
        <v>8332.1499999999978</v>
      </c>
      <c r="K291" s="1"/>
      <c r="L291" s="1"/>
    </row>
    <row r="292" spans="1:12">
      <c r="A292" s="1"/>
      <c r="B292" s="1"/>
      <c r="C292" s="1" t="s">
        <v>13</v>
      </c>
      <c r="D292" s="7"/>
      <c r="E292" s="7"/>
      <c r="F292" s="7"/>
      <c r="G292" s="7"/>
      <c r="H292" s="7">
        <v>0</v>
      </c>
      <c r="I292" s="7">
        <v>0</v>
      </c>
      <c r="J292" s="7">
        <f>SUM(D292:H292)</f>
        <v>0</v>
      </c>
      <c r="K292" s="1"/>
      <c r="L292" s="1"/>
    </row>
    <row r="293" spans="1:12">
      <c r="A293" s="1"/>
      <c r="B293" s="1"/>
      <c r="C293" s="1"/>
      <c r="D293" s="7"/>
      <c r="E293" s="7"/>
      <c r="F293" s="7"/>
      <c r="G293" s="7"/>
      <c r="H293" s="7"/>
      <c r="I293" s="7"/>
      <c r="J293" s="7"/>
      <c r="K293" s="1"/>
      <c r="L293" s="1"/>
    </row>
    <row r="294" spans="1:12">
      <c r="A294" s="1"/>
      <c r="B294" s="1"/>
      <c r="C294" s="1" t="s">
        <v>10</v>
      </c>
      <c r="D294" s="7">
        <f>SUM(D291:D292)</f>
        <v>8081.16</v>
      </c>
      <c r="E294" s="7">
        <f>SUM(E291:E292)</f>
        <v>193.64</v>
      </c>
      <c r="F294" s="7">
        <f>SUM(F291:F292)</f>
        <v>34.57</v>
      </c>
      <c r="G294" s="7">
        <f>SUM(G291:G292)</f>
        <v>17.48</v>
      </c>
      <c r="H294" s="7">
        <f>SUM(H291:H292)</f>
        <v>5.3</v>
      </c>
      <c r="I294" s="7">
        <v>0</v>
      </c>
      <c r="J294" s="7">
        <f>SUM(D294:H294)</f>
        <v>8332.1499999999978</v>
      </c>
      <c r="K294" s="1"/>
      <c r="L294" s="1"/>
    </row>
    <row r="295" spans="1:12">
      <c r="A295" s="1"/>
      <c r="B295" s="1"/>
      <c r="C295" s="1"/>
      <c r="D295" s="7"/>
      <c r="E295" s="7"/>
      <c r="F295" s="7"/>
      <c r="G295" s="7"/>
      <c r="H295" s="7"/>
      <c r="I295" s="7"/>
      <c r="J295" s="7"/>
      <c r="K295" s="1"/>
      <c r="L295" s="1"/>
    </row>
    <row r="296" spans="1:12">
      <c r="A296" s="1"/>
      <c r="B296" s="1"/>
      <c r="C296" s="1"/>
      <c r="D296" s="7"/>
      <c r="E296" s="7"/>
      <c r="F296" s="7"/>
      <c r="G296" s="7"/>
      <c r="H296" s="7"/>
      <c r="I296" s="7"/>
      <c r="J296" s="7"/>
      <c r="K296" s="1"/>
      <c r="L296" s="1"/>
    </row>
    <row r="297" spans="1:12">
      <c r="A297" s="1">
        <v>70</v>
      </c>
      <c r="B297" s="1" t="s">
        <v>65</v>
      </c>
      <c r="C297" s="1" t="s">
        <v>12</v>
      </c>
      <c r="D297" s="7">
        <v>7110.49</v>
      </c>
      <c r="E297" s="7">
        <v>187.09</v>
      </c>
      <c r="F297" s="7">
        <v>0</v>
      </c>
      <c r="G297" s="7">
        <v>0</v>
      </c>
      <c r="H297" s="7">
        <v>0</v>
      </c>
      <c r="I297" s="7">
        <v>0</v>
      </c>
      <c r="J297" s="7">
        <f>SUM(D297:H297)</f>
        <v>7297.58</v>
      </c>
      <c r="K297" s="1"/>
      <c r="L297" s="1"/>
    </row>
    <row r="298" spans="1:12">
      <c r="A298" s="1"/>
      <c r="B298" s="1"/>
      <c r="C298" s="1"/>
      <c r="D298" s="7"/>
      <c r="E298" s="7"/>
      <c r="F298" s="7"/>
      <c r="G298" s="7"/>
      <c r="H298" s="7"/>
      <c r="I298" s="7"/>
      <c r="J298" s="7">
        <f>SUM(D298:H298)</f>
        <v>0</v>
      </c>
      <c r="K298" s="1"/>
      <c r="L298" s="1"/>
    </row>
    <row r="299" spans="1:12">
      <c r="A299" s="1"/>
      <c r="B299" s="1"/>
      <c r="C299" s="1" t="s">
        <v>10</v>
      </c>
      <c r="D299" s="7">
        <f>SUM(D297:D298)</f>
        <v>7110.49</v>
      </c>
      <c r="E299" s="7">
        <f>SUM(E297:E298)</f>
        <v>187.09</v>
      </c>
      <c r="F299" s="7">
        <f>SUM(F297:F298)</f>
        <v>0</v>
      </c>
      <c r="G299" s="7">
        <f>SUM(G297:G298)</f>
        <v>0</v>
      </c>
      <c r="H299" s="7">
        <f>SUM(H297:H298)</f>
        <v>0</v>
      </c>
      <c r="I299" s="7">
        <v>0</v>
      </c>
      <c r="J299" s="7">
        <f>SUM(D299:H299)</f>
        <v>7297.58</v>
      </c>
      <c r="K299" s="1"/>
      <c r="L299" s="1"/>
    </row>
    <row r="300" spans="1:12">
      <c r="A300" s="1"/>
      <c r="B300" s="1"/>
      <c r="C300" s="1"/>
      <c r="D300" s="7"/>
      <c r="E300" s="7"/>
      <c r="F300" s="7"/>
      <c r="G300" s="7"/>
      <c r="H300" s="7"/>
      <c r="I300" s="7"/>
      <c r="J300" s="7"/>
      <c r="K300" s="1"/>
      <c r="L300" s="1"/>
    </row>
    <row r="301" spans="1:12">
      <c r="A301" s="1"/>
      <c r="B301" s="1"/>
      <c r="C301" s="1" t="s">
        <v>66</v>
      </c>
      <c r="D301" s="7">
        <f t="shared" ref="D301:I301" si="21">SUM(D9:D299)/2</f>
        <v>407753.7</v>
      </c>
      <c r="E301" s="7">
        <f t="shared" si="21"/>
        <v>11072.059999999994</v>
      </c>
      <c r="F301" s="7">
        <f t="shared" si="21"/>
        <v>5380.0930000000008</v>
      </c>
      <c r="G301" s="7">
        <f t="shared" si="21"/>
        <v>3053.3999999999987</v>
      </c>
      <c r="H301" s="7">
        <f t="shared" si="21"/>
        <v>1512.4499999999998</v>
      </c>
      <c r="I301" s="7">
        <f t="shared" si="21"/>
        <v>0.57000000000000006</v>
      </c>
      <c r="J301" s="7">
        <f>SUM(D301:I301)</f>
        <v>428772.27300000004</v>
      </c>
      <c r="K301" s="1"/>
      <c r="L301" s="1"/>
    </row>
    <row r="302" spans="1:12">
      <c r="A302" s="1"/>
      <c r="B302" s="1"/>
      <c r="C302" s="1"/>
      <c r="D302" s="7"/>
      <c r="E302" s="7"/>
      <c r="F302" s="7"/>
      <c r="G302" s="7"/>
      <c r="H302" s="7"/>
      <c r="I302" s="7"/>
      <c r="J302" s="7"/>
      <c r="K302" s="1"/>
      <c r="L302" s="1"/>
    </row>
    <row r="303" spans="1:12">
      <c r="A303" s="1"/>
      <c r="B303" s="1"/>
      <c r="C303" s="1"/>
      <c r="D303" s="7"/>
      <c r="E303" s="7"/>
      <c r="F303" s="7"/>
      <c r="G303" s="7"/>
      <c r="H303" s="7"/>
      <c r="I303" s="7"/>
      <c r="J303" s="7"/>
      <c r="K303" s="1"/>
      <c r="L303" s="1"/>
    </row>
    <row r="304" spans="1:12">
      <c r="A304" s="1"/>
      <c r="B304" s="1"/>
      <c r="C304" s="1"/>
      <c r="D304" s="7"/>
      <c r="E304" s="7"/>
      <c r="F304" s="7"/>
      <c r="G304" s="7"/>
      <c r="H304" s="7"/>
      <c r="I304" s="7"/>
      <c r="J304" s="7"/>
      <c r="K304" s="1"/>
      <c r="L304" s="1"/>
    </row>
    <row r="305" spans="1:1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</sheetData>
  <phoneticPr fontId="0" type="noConversion"/>
  <pageMargins left="0.25" right="0.25" top="0.25" bottom="0.25" header="0.5" footer="0.5"/>
  <pageSetup orientation="landscape" r:id="rId1"/>
  <headerFooter alignWithMargins="0"/>
  <rowBreaks count="51" manualBreakCount="51">
    <brk id="7" max="65535" man="1"/>
    <brk id="12" max="65535" man="1"/>
    <brk id="18" max="65535" man="1"/>
    <brk id="24" max="65535" man="1"/>
    <brk id="30" max="65535" man="1"/>
    <brk id="36" max="65535" man="1"/>
    <brk id="43" max="65535" man="1"/>
    <brk id="49" max="65535" man="1"/>
    <brk id="56" max="65535" man="1"/>
    <brk id="62" max="65535" man="1"/>
    <brk id="68" max="65535" man="1"/>
    <brk id="75" max="65535" man="1"/>
    <brk id="82" max="65535" man="1"/>
    <brk id="89" max="65535" man="1"/>
    <brk id="94" max="65535" man="1"/>
    <brk id="100" max="65535" man="1"/>
    <brk id="105" max="65535" man="1"/>
    <brk id="111" max="65535" man="1"/>
    <brk id="117" max="65535" man="1"/>
    <brk id="121" max="65535" man="1"/>
    <brk id="127" max="65535" man="1"/>
    <brk id="133" max="65535" man="1"/>
    <brk id="140" max="65535" man="1"/>
    <brk id="146" max="65535" man="1"/>
    <brk id="151" max="65535" man="1"/>
    <brk id="156" max="65535" man="1"/>
    <brk id="162" max="65535" man="1"/>
    <brk id="167" max="65535" man="1"/>
    <brk id="172" max="65535" man="1"/>
    <brk id="178" max="65535" man="1"/>
    <brk id="185" max="65535" man="1"/>
    <brk id="191" max="65535" man="1"/>
    <brk id="197" max="65535" man="1"/>
    <brk id="202" max="65535" man="1"/>
    <brk id="208" max="65535" man="1"/>
    <brk id="214" max="65535" man="1"/>
    <brk id="220" max="65535" man="1"/>
    <brk id="226" max="65535" man="1"/>
    <brk id="232" max="65535" man="1"/>
    <brk id="237" max="65535" man="1"/>
    <brk id="243" max="65535" man="1"/>
    <brk id="249" max="65535" man="1"/>
    <brk id="255" max="65535" man="1"/>
    <brk id="260" max="65535" man="1"/>
    <brk id="266" max="65535" man="1"/>
    <brk id="273" max="65535" man="1"/>
    <brk id="279" max="65535" man="1"/>
    <brk id="285" max="65535" man="1"/>
    <brk id="290" max="65535" man="1"/>
    <brk id="297" max="65535" man="1"/>
    <brk id="302" max="6553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L306"/>
  <sheetViews>
    <sheetView showOutlineSymbols="0" defaultGridColor="0" colorId="23" zoomScale="75" workbookViewId="0"/>
  </sheetViews>
  <sheetFormatPr defaultColWidth="9.6640625" defaultRowHeight="15"/>
  <cols>
    <col min="1" max="1" width="9.6640625" customWidth="1"/>
    <col min="2" max="2" width="16.6640625" customWidth="1"/>
    <col min="3" max="3" width="21.6640625" customWidth="1"/>
    <col min="4" max="5" width="11.6640625" customWidth="1"/>
    <col min="6" max="9" width="9.6640625" customWidth="1"/>
    <col min="10" max="10" width="12.6640625" customWidth="1"/>
  </cols>
  <sheetData>
    <row r="1" spans="1:12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 t="s">
        <v>82</v>
      </c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 t="s">
        <v>83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>
      <c r="A4" s="1"/>
      <c r="B4" s="3" t="s">
        <v>1</v>
      </c>
      <c r="C4" s="2"/>
      <c r="D4" s="2"/>
      <c r="E4" s="2"/>
      <c r="F4" s="2"/>
      <c r="G4" s="2"/>
      <c r="H4" s="2"/>
      <c r="I4" s="2"/>
      <c r="J4" s="2"/>
      <c r="K4" s="1"/>
      <c r="L4" s="1"/>
    </row>
    <row r="5" spans="1:12" ht="15.75">
      <c r="A5" s="1"/>
      <c r="B5" s="3" t="s">
        <v>84</v>
      </c>
      <c r="C5" s="2"/>
      <c r="D5" s="2"/>
      <c r="E5" s="2"/>
      <c r="F5" s="2"/>
      <c r="G5" s="2"/>
      <c r="H5" s="2"/>
      <c r="I5" s="2"/>
      <c r="J5" s="2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4" t="s">
        <v>3</v>
      </c>
      <c r="C7" s="4" t="s">
        <v>4</v>
      </c>
      <c r="D7" s="5">
        <v>1997</v>
      </c>
      <c r="E7" s="5">
        <v>1996</v>
      </c>
      <c r="F7" s="5">
        <v>1995</v>
      </c>
      <c r="G7" s="5">
        <v>1994</v>
      </c>
      <c r="H7" s="6">
        <v>1993</v>
      </c>
      <c r="I7" s="6">
        <v>1992</v>
      </c>
      <c r="J7" s="5" t="s">
        <v>10</v>
      </c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>
        <v>21</v>
      </c>
      <c r="B9" s="1" t="s">
        <v>11</v>
      </c>
      <c r="C9" s="1" t="s">
        <v>12</v>
      </c>
      <c r="D9" s="7">
        <v>7105.02</v>
      </c>
      <c r="E9" s="7">
        <v>196.35</v>
      </c>
      <c r="F9" s="7"/>
      <c r="G9" s="7"/>
      <c r="H9" s="7"/>
      <c r="I9" s="7"/>
      <c r="J9" s="7">
        <f>SUM(D9:H9)</f>
        <v>7301.3700000000008</v>
      </c>
      <c r="K9" s="1"/>
      <c r="L9" s="1"/>
    </row>
    <row r="10" spans="1:12">
      <c r="A10" s="1"/>
      <c r="B10" s="1"/>
      <c r="C10" s="1" t="s">
        <v>13</v>
      </c>
      <c r="D10" s="7">
        <v>244.46</v>
      </c>
      <c r="E10" s="7">
        <v>3.63</v>
      </c>
      <c r="F10" s="7"/>
      <c r="G10" s="7"/>
      <c r="H10" s="7"/>
      <c r="I10" s="7"/>
      <c r="J10" s="7">
        <f>SUM(D10:H10)</f>
        <v>248.09</v>
      </c>
      <c r="K10" s="1"/>
      <c r="L10" s="1"/>
    </row>
    <row r="11" spans="1:12">
      <c r="A11" s="1"/>
      <c r="B11" s="1"/>
      <c r="C11" s="1"/>
      <c r="D11" s="7"/>
      <c r="E11" s="7"/>
      <c r="F11" s="7"/>
      <c r="G11" s="7"/>
      <c r="H11" s="7"/>
      <c r="I11" s="7"/>
      <c r="J11" s="7"/>
      <c r="K11" s="1"/>
      <c r="L11" s="1"/>
    </row>
    <row r="12" spans="1:12">
      <c r="A12" s="1"/>
      <c r="B12" s="1"/>
      <c r="C12" s="1" t="s">
        <v>10</v>
      </c>
      <c r="D12" s="7">
        <f t="shared" ref="D12:I12" si="0">SUM(D9:D10)</f>
        <v>7349.4800000000005</v>
      </c>
      <c r="E12" s="7">
        <f t="shared" si="0"/>
        <v>199.98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7">
        <f t="shared" si="0"/>
        <v>0</v>
      </c>
      <c r="J12" s="7">
        <f>SUM(D12:H12)</f>
        <v>7549.46</v>
      </c>
      <c r="K12" s="1"/>
      <c r="L12" s="1"/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7"/>
      <c r="K13" s="1"/>
      <c r="L13" s="1"/>
    </row>
    <row r="14" spans="1:12">
      <c r="A14" s="1">
        <v>22</v>
      </c>
      <c r="B14" s="1" t="s">
        <v>15</v>
      </c>
      <c r="C14" s="1" t="s">
        <v>12</v>
      </c>
      <c r="D14" s="7">
        <v>6592.36</v>
      </c>
      <c r="E14" s="7">
        <v>61.57</v>
      </c>
      <c r="F14" s="7">
        <v>21.3</v>
      </c>
      <c r="G14" s="7"/>
      <c r="H14" s="7"/>
      <c r="I14" s="7"/>
      <c r="J14" s="7">
        <f>SUM(D14:H14)</f>
        <v>6675.23</v>
      </c>
      <c r="K14" s="1"/>
      <c r="L14" s="1"/>
    </row>
    <row r="15" spans="1:12">
      <c r="A15" s="1"/>
      <c r="B15" s="1"/>
      <c r="C15" s="1" t="s">
        <v>13</v>
      </c>
      <c r="D15" s="7">
        <v>491.55</v>
      </c>
      <c r="E15" s="7">
        <v>4.2</v>
      </c>
      <c r="F15" s="7">
        <v>1.55</v>
      </c>
      <c r="G15" s="7"/>
      <c r="H15" s="7"/>
      <c r="I15" s="7"/>
      <c r="J15" s="7">
        <f>SUM(D15:H15)</f>
        <v>497.3</v>
      </c>
      <c r="K15" s="1"/>
      <c r="L15" s="1"/>
    </row>
    <row r="16" spans="1:12">
      <c r="A16" s="1"/>
      <c r="B16" s="1"/>
      <c r="C16" s="1"/>
      <c r="D16" s="7"/>
      <c r="E16" s="7"/>
      <c r="F16" s="7"/>
      <c r="G16" s="7"/>
      <c r="H16" s="7"/>
      <c r="I16" s="7"/>
      <c r="J16" s="7"/>
      <c r="K16" s="1"/>
      <c r="L16" s="1"/>
    </row>
    <row r="17" spans="1:12">
      <c r="A17" s="1"/>
      <c r="B17" s="1"/>
      <c r="C17" s="1" t="s">
        <v>10</v>
      </c>
      <c r="D17" s="7">
        <f t="shared" ref="D17:I17" si="1">SUM(D14:D15)</f>
        <v>7083.91</v>
      </c>
      <c r="E17" s="7">
        <f t="shared" si="1"/>
        <v>65.77</v>
      </c>
      <c r="F17" s="7">
        <f t="shared" si="1"/>
        <v>22.85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>SUM(D17:H17)</f>
        <v>7172.5300000000007</v>
      </c>
      <c r="K17" s="1"/>
      <c r="L17" s="1"/>
    </row>
    <row r="18" spans="1:12">
      <c r="A18" s="1"/>
      <c r="B18" s="1"/>
      <c r="C18" s="1"/>
      <c r="D18" s="7"/>
      <c r="E18" s="7"/>
      <c r="F18" s="7"/>
      <c r="G18" s="7"/>
      <c r="H18" s="7"/>
      <c r="I18" s="7"/>
      <c r="J18" s="7"/>
      <c r="K18" s="1"/>
      <c r="L18" s="1"/>
    </row>
    <row r="19" spans="1:12">
      <c r="A19" s="1">
        <v>23</v>
      </c>
      <c r="B19" s="1" t="s">
        <v>16</v>
      </c>
      <c r="C19" s="1" t="s">
        <v>12</v>
      </c>
      <c r="D19" s="7">
        <v>7195.18</v>
      </c>
      <c r="E19" s="7">
        <v>152.04</v>
      </c>
      <c r="F19" s="7"/>
      <c r="G19" s="7"/>
      <c r="H19" s="7"/>
      <c r="I19" s="7"/>
      <c r="J19" s="7">
        <f>SUM(D19:H19)</f>
        <v>7347.22</v>
      </c>
      <c r="K19" s="1"/>
      <c r="L19" s="1"/>
    </row>
    <row r="20" spans="1:12">
      <c r="A20" s="1"/>
      <c r="B20" s="1"/>
      <c r="C20" s="1" t="s">
        <v>13</v>
      </c>
      <c r="D20" s="7">
        <v>244.74</v>
      </c>
      <c r="E20" s="7">
        <v>7.34</v>
      </c>
      <c r="F20" s="7"/>
      <c r="G20" s="7"/>
      <c r="H20" s="7"/>
      <c r="I20" s="7"/>
      <c r="J20" s="7">
        <f>SUM(D20:H20)</f>
        <v>252.08</v>
      </c>
      <c r="K20" s="1"/>
      <c r="L20" s="1"/>
    </row>
    <row r="21" spans="1:12">
      <c r="A21" s="1"/>
      <c r="B21" s="1"/>
      <c r="C21" s="1"/>
      <c r="D21" s="7"/>
      <c r="E21" s="7"/>
      <c r="F21" s="7"/>
      <c r="G21" s="7"/>
      <c r="H21" s="7"/>
      <c r="I21" s="7"/>
      <c r="J21" s="7"/>
      <c r="K21" s="1"/>
      <c r="L21" s="1"/>
    </row>
    <row r="22" spans="1:12">
      <c r="A22" s="1"/>
      <c r="B22" s="1"/>
      <c r="C22" s="1" t="s">
        <v>10</v>
      </c>
      <c r="D22" s="7">
        <f t="shared" ref="D22:I22" si="2">SUM(D19:D20)</f>
        <v>7439.92</v>
      </c>
      <c r="E22" s="7">
        <f t="shared" si="2"/>
        <v>159.38</v>
      </c>
      <c r="F22" s="7">
        <f t="shared" si="2"/>
        <v>0</v>
      </c>
      <c r="G22" s="7">
        <f t="shared" si="2"/>
        <v>0</v>
      </c>
      <c r="H22" s="7">
        <f t="shared" si="2"/>
        <v>0</v>
      </c>
      <c r="I22" s="7">
        <f t="shared" si="2"/>
        <v>0</v>
      </c>
      <c r="J22" s="7">
        <f>SUM(D22:H22)</f>
        <v>7599.3</v>
      </c>
      <c r="K22" s="1"/>
      <c r="L22" s="1"/>
    </row>
    <row r="23" spans="1:12">
      <c r="A23" s="1"/>
      <c r="B23" s="1"/>
      <c r="C23" s="1"/>
      <c r="D23" s="7"/>
      <c r="E23" s="7"/>
      <c r="F23" s="7"/>
      <c r="G23" s="7"/>
      <c r="H23" s="7"/>
      <c r="I23" s="7"/>
      <c r="J23" s="7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7"/>
      <c r="K24" s="1"/>
      <c r="L24" s="1"/>
    </row>
    <row r="25" spans="1:12">
      <c r="A25" s="1"/>
      <c r="B25" s="1"/>
      <c r="C25" s="1"/>
      <c r="D25" s="7"/>
      <c r="E25" s="7"/>
      <c r="F25" s="7"/>
      <c r="G25" s="7"/>
      <c r="H25" s="7"/>
      <c r="I25" s="7"/>
      <c r="J25" s="7"/>
      <c r="K25" s="1"/>
      <c r="L25" s="1"/>
    </row>
    <row r="26" spans="1:12">
      <c r="A26" s="1">
        <v>24</v>
      </c>
      <c r="B26" s="1" t="s">
        <v>17</v>
      </c>
      <c r="C26" s="1" t="s">
        <v>12</v>
      </c>
      <c r="D26" s="7">
        <v>4486.28</v>
      </c>
      <c r="E26" s="7">
        <v>0</v>
      </c>
      <c r="F26" s="7">
        <v>0</v>
      </c>
      <c r="G26" s="7"/>
      <c r="H26" s="7"/>
      <c r="I26" s="7"/>
      <c r="J26" s="7">
        <f>SUM(D26:H26)</f>
        <v>4486.28</v>
      </c>
      <c r="K26" s="1"/>
      <c r="L26" s="1"/>
    </row>
    <row r="27" spans="1:12">
      <c r="A27" s="1"/>
      <c r="B27" s="1"/>
      <c r="C27" s="1"/>
      <c r="D27" s="7"/>
      <c r="E27" s="7"/>
      <c r="F27" s="7"/>
      <c r="G27" s="7"/>
      <c r="H27" s="7"/>
      <c r="I27" s="7"/>
      <c r="J27" s="7">
        <f>SUM(D27:H27)</f>
        <v>0</v>
      </c>
      <c r="K27" s="1"/>
      <c r="L27" s="1"/>
    </row>
    <row r="28" spans="1:12">
      <c r="A28" s="1"/>
      <c r="B28" s="1"/>
      <c r="C28" s="1" t="s">
        <v>10</v>
      </c>
      <c r="D28" s="7">
        <f t="shared" ref="D28:I28" si="3">SUM(D26:D27)</f>
        <v>4486.28</v>
      </c>
      <c r="E28" s="7">
        <f t="shared" si="3"/>
        <v>0</v>
      </c>
      <c r="F28" s="7">
        <f t="shared" si="3"/>
        <v>0</v>
      </c>
      <c r="G28" s="7">
        <f t="shared" si="3"/>
        <v>0</v>
      </c>
      <c r="H28" s="7">
        <f t="shared" si="3"/>
        <v>0</v>
      </c>
      <c r="I28" s="7">
        <f t="shared" si="3"/>
        <v>0</v>
      </c>
      <c r="J28" s="7">
        <f>SUM(D28:H28)</f>
        <v>4486.28</v>
      </c>
      <c r="K28" s="1"/>
      <c r="L28" s="1"/>
    </row>
    <row r="29" spans="1:12">
      <c r="A29" s="1"/>
      <c r="B29" s="1"/>
      <c r="C29" s="1"/>
      <c r="D29" s="7"/>
      <c r="E29" s="7"/>
      <c r="F29" s="7"/>
      <c r="G29" s="7"/>
      <c r="H29" s="7"/>
      <c r="I29" s="7"/>
      <c r="J29" s="7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7"/>
      <c r="K30" s="1"/>
      <c r="L30" s="1"/>
    </row>
    <row r="31" spans="1:12">
      <c r="A31" s="1"/>
      <c r="B31" s="1"/>
      <c r="C31" s="1"/>
      <c r="D31" s="7"/>
      <c r="E31" s="7"/>
      <c r="F31" s="7"/>
      <c r="G31" s="7"/>
      <c r="H31" s="7"/>
      <c r="I31" s="7"/>
      <c r="J31" s="7"/>
      <c r="K31" s="1"/>
      <c r="L31" s="1"/>
    </row>
    <row r="32" spans="1:12">
      <c r="A32" s="1">
        <v>25</v>
      </c>
      <c r="B32" s="1" t="s">
        <v>18</v>
      </c>
      <c r="C32" s="1" t="s">
        <v>12</v>
      </c>
      <c r="D32" s="7">
        <v>17649.900000000001</v>
      </c>
      <c r="E32" s="7">
        <v>452.9</v>
      </c>
      <c r="F32" s="7">
        <v>42.62</v>
      </c>
      <c r="G32" s="7"/>
      <c r="H32" s="7"/>
      <c r="I32" s="7"/>
      <c r="J32" s="7">
        <f>SUM(D32:H32)</f>
        <v>18145.420000000002</v>
      </c>
      <c r="K32" s="1"/>
      <c r="L32" s="1"/>
    </row>
    <row r="33" spans="1:12">
      <c r="A33" s="1"/>
      <c r="B33" s="1"/>
      <c r="C33" s="1"/>
      <c r="D33" s="7"/>
      <c r="E33" s="7"/>
      <c r="F33" s="7"/>
      <c r="G33" s="7"/>
      <c r="H33" s="7"/>
      <c r="I33" s="7"/>
      <c r="J33" s="7"/>
      <c r="K33" s="1"/>
      <c r="L33" s="1"/>
    </row>
    <row r="34" spans="1:12">
      <c r="A34" s="1"/>
      <c r="B34" s="1"/>
      <c r="C34" s="1" t="s">
        <v>10</v>
      </c>
      <c r="D34" s="7">
        <f t="shared" ref="D34:I34" si="4">SUM(D32:D33)</f>
        <v>17649.900000000001</v>
      </c>
      <c r="E34" s="7">
        <f t="shared" si="4"/>
        <v>452.9</v>
      </c>
      <c r="F34" s="7">
        <f t="shared" si="4"/>
        <v>42.62</v>
      </c>
      <c r="G34" s="7">
        <f t="shared" si="4"/>
        <v>0</v>
      </c>
      <c r="H34" s="7">
        <f t="shared" si="4"/>
        <v>0</v>
      </c>
      <c r="I34" s="7">
        <f t="shared" si="4"/>
        <v>0</v>
      </c>
      <c r="J34" s="7">
        <f>SUM(D34:H34)</f>
        <v>18145.420000000002</v>
      </c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7"/>
      <c r="K35" s="1"/>
      <c r="L35" s="1"/>
    </row>
    <row r="36" spans="1:12">
      <c r="A36" s="1"/>
      <c r="B36" s="1"/>
      <c r="C36" s="1"/>
      <c r="D36" s="7"/>
      <c r="E36" s="7"/>
      <c r="F36" s="7"/>
      <c r="G36" s="7"/>
      <c r="H36" s="7"/>
      <c r="I36" s="7"/>
      <c r="J36" s="7"/>
      <c r="K36" s="1"/>
      <c r="L36" s="1"/>
    </row>
    <row r="37" spans="1:12">
      <c r="A37" s="1"/>
      <c r="B37" s="1"/>
      <c r="C37" s="1"/>
      <c r="D37" s="7"/>
      <c r="E37" s="7"/>
      <c r="F37" s="7"/>
      <c r="G37" s="7"/>
      <c r="H37" s="7"/>
      <c r="I37" s="7"/>
      <c r="J37" s="7"/>
      <c r="K37" s="1"/>
      <c r="L37" s="1"/>
    </row>
    <row r="38" spans="1:12">
      <c r="A38" s="1">
        <v>26</v>
      </c>
      <c r="B38" s="1" t="s">
        <v>19</v>
      </c>
      <c r="C38" s="1" t="s">
        <v>12</v>
      </c>
      <c r="D38" s="7">
        <v>5595.74</v>
      </c>
      <c r="E38" s="7">
        <v>71.03</v>
      </c>
      <c r="F38" s="7">
        <v>36.270000000000003</v>
      </c>
      <c r="G38" s="7">
        <v>35.03</v>
      </c>
      <c r="H38" s="7"/>
      <c r="I38" s="7"/>
      <c r="J38" s="7">
        <f>SUM(D38:H38)</f>
        <v>5738.07</v>
      </c>
      <c r="K38" s="1"/>
      <c r="L38" s="1"/>
    </row>
    <row r="39" spans="1:12">
      <c r="A39" s="1"/>
      <c r="B39" s="1"/>
      <c r="C39" s="1" t="s">
        <v>13</v>
      </c>
      <c r="D39" s="7">
        <v>142.65</v>
      </c>
      <c r="E39" s="7">
        <v>1.93</v>
      </c>
      <c r="F39" s="7">
        <v>0.78</v>
      </c>
      <c r="G39" s="7">
        <v>0.74</v>
      </c>
      <c r="H39" s="7"/>
      <c r="I39" s="7"/>
      <c r="J39" s="7">
        <f>SUM(D39:H39)</f>
        <v>146.10000000000002</v>
      </c>
      <c r="K39" s="1"/>
      <c r="L39" s="1"/>
    </row>
    <row r="40" spans="1:12">
      <c r="A40" s="1"/>
      <c r="B40" s="1"/>
      <c r="C40" s="1"/>
      <c r="D40" s="7"/>
      <c r="E40" s="7"/>
      <c r="F40" s="7"/>
      <c r="G40" s="7"/>
      <c r="H40" s="7"/>
      <c r="I40" s="7"/>
      <c r="J40" s="7"/>
      <c r="K40" s="1"/>
      <c r="L40" s="1"/>
    </row>
    <row r="41" spans="1:12">
      <c r="A41" s="1"/>
      <c r="B41" s="1"/>
      <c r="C41" s="1" t="s">
        <v>10</v>
      </c>
      <c r="D41" s="7">
        <f t="shared" ref="D41:I41" si="5">SUM(D38:D39)</f>
        <v>5738.3899999999994</v>
      </c>
      <c r="E41" s="7">
        <f t="shared" si="5"/>
        <v>72.960000000000008</v>
      </c>
      <c r="F41" s="7">
        <f t="shared" si="5"/>
        <v>37.050000000000004</v>
      </c>
      <c r="G41" s="7">
        <f t="shared" si="5"/>
        <v>35.770000000000003</v>
      </c>
      <c r="H41" s="7">
        <f t="shared" si="5"/>
        <v>0</v>
      </c>
      <c r="I41" s="7">
        <f t="shared" si="5"/>
        <v>0</v>
      </c>
      <c r="J41" s="7">
        <f>SUM(D41:H41)</f>
        <v>5884.17</v>
      </c>
      <c r="K41" s="1"/>
      <c r="L41" s="1"/>
    </row>
    <row r="42" spans="1:12">
      <c r="A42" s="1"/>
      <c r="B42" s="1"/>
      <c r="C42" s="1"/>
      <c r="D42" s="7"/>
      <c r="E42" s="7"/>
      <c r="F42" s="7"/>
      <c r="G42" s="7"/>
      <c r="H42" s="7"/>
      <c r="I42" s="7"/>
      <c r="J42" s="7"/>
      <c r="K42" s="1"/>
      <c r="L42" s="1"/>
    </row>
    <row r="43" spans="1:12">
      <c r="A43" s="1"/>
      <c r="B43" s="1"/>
      <c r="C43" s="1"/>
      <c r="D43" s="7"/>
      <c r="E43" s="7"/>
      <c r="F43" s="7"/>
      <c r="G43" s="7"/>
      <c r="H43" s="7"/>
      <c r="I43" s="7"/>
      <c r="J43" s="7"/>
      <c r="K43" s="1"/>
      <c r="L43" s="1"/>
    </row>
    <row r="44" spans="1:12">
      <c r="A44" s="1">
        <v>27</v>
      </c>
      <c r="B44" s="1" t="s">
        <v>20</v>
      </c>
      <c r="C44" s="1" t="s">
        <v>12</v>
      </c>
      <c r="D44" s="7">
        <v>7053.79</v>
      </c>
      <c r="E44" s="7">
        <v>21.68</v>
      </c>
      <c r="F44" s="7">
        <v>0</v>
      </c>
      <c r="G44" s="7"/>
      <c r="H44" s="7"/>
      <c r="I44" s="7"/>
      <c r="J44" s="7">
        <f>SUM(D44:H44)</f>
        <v>7075.47</v>
      </c>
      <c r="K44" s="1"/>
      <c r="L44" s="1"/>
    </row>
    <row r="45" spans="1:12">
      <c r="A45" s="1"/>
      <c r="B45" s="1"/>
      <c r="C45" s="1"/>
      <c r="D45" s="7"/>
      <c r="E45" s="7"/>
      <c r="F45" s="7"/>
      <c r="G45" s="7"/>
      <c r="H45" s="7"/>
      <c r="I45" s="7"/>
      <c r="J45" s="7">
        <f>SUM(D45:H45)</f>
        <v>0</v>
      </c>
      <c r="K45" s="1"/>
      <c r="L45" s="1"/>
    </row>
    <row r="46" spans="1:12">
      <c r="A46" s="1"/>
      <c r="B46" s="1"/>
      <c r="C46" s="1" t="s">
        <v>10</v>
      </c>
      <c r="D46" s="7">
        <f t="shared" ref="D46:I46" si="6">SUM(D44:D45)</f>
        <v>7053.79</v>
      </c>
      <c r="E46" s="7">
        <f t="shared" si="6"/>
        <v>21.68</v>
      </c>
      <c r="F46" s="7">
        <f t="shared" si="6"/>
        <v>0</v>
      </c>
      <c r="G46" s="7">
        <f t="shared" si="6"/>
        <v>0</v>
      </c>
      <c r="H46" s="7">
        <f t="shared" si="6"/>
        <v>0</v>
      </c>
      <c r="I46" s="7">
        <f t="shared" si="6"/>
        <v>0</v>
      </c>
      <c r="J46" s="7">
        <f>SUM(D46:H46)</f>
        <v>7075.47</v>
      </c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7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7"/>
      <c r="K48" s="1"/>
      <c r="L48" s="1"/>
    </row>
    <row r="49" spans="1:12">
      <c r="A49" s="1"/>
      <c r="B49" s="1"/>
      <c r="C49" s="1"/>
      <c r="D49" s="7"/>
      <c r="E49" s="7"/>
      <c r="F49" s="7"/>
      <c r="G49" s="7"/>
      <c r="H49" s="7"/>
      <c r="I49" s="7"/>
      <c r="J49" s="7"/>
      <c r="K49" s="1"/>
      <c r="L49" s="1"/>
    </row>
    <row r="50" spans="1:12">
      <c r="A50" s="1"/>
      <c r="B50" s="1"/>
      <c r="C50" s="1"/>
      <c r="D50" s="7"/>
      <c r="E50" s="7"/>
      <c r="F50" s="7"/>
      <c r="G50" s="7"/>
      <c r="H50" s="7"/>
      <c r="I50" s="7"/>
      <c r="J50" s="7"/>
      <c r="K50" s="1"/>
      <c r="L50" s="1"/>
    </row>
    <row r="51" spans="1:12">
      <c r="A51" s="1">
        <v>28</v>
      </c>
      <c r="B51" s="1" t="s">
        <v>21</v>
      </c>
      <c r="C51" s="1" t="s">
        <v>12</v>
      </c>
      <c r="D51" s="7">
        <v>6678.17</v>
      </c>
      <c r="E51" s="7">
        <v>0.23</v>
      </c>
      <c r="F51" s="7"/>
      <c r="G51" s="7"/>
      <c r="H51" s="7"/>
      <c r="I51" s="7"/>
      <c r="J51" s="7">
        <f>SUM(D51:H51)</f>
        <v>6678.4</v>
      </c>
      <c r="K51" s="1"/>
      <c r="L51" s="1"/>
    </row>
    <row r="52" spans="1:12">
      <c r="A52" s="1"/>
      <c r="B52" s="1"/>
      <c r="C52" s="1" t="s">
        <v>13</v>
      </c>
      <c r="D52" s="7">
        <v>228.14</v>
      </c>
      <c r="E52" s="7">
        <v>-0.13</v>
      </c>
      <c r="F52" s="7"/>
      <c r="G52" s="7"/>
      <c r="H52" s="7"/>
      <c r="I52" s="7"/>
      <c r="J52" s="7">
        <f>SUM(D52:H52)</f>
        <v>228.01</v>
      </c>
      <c r="K52" s="1"/>
      <c r="L52" s="1"/>
    </row>
    <row r="53" spans="1:12">
      <c r="A53" s="1"/>
      <c r="B53" s="1"/>
      <c r="C53" s="1"/>
      <c r="D53" s="7"/>
      <c r="E53" s="7"/>
      <c r="F53" s="7"/>
      <c r="G53" s="7"/>
      <c r="H53" s="7"/>
      <c r="I53" s="7"/>
      <c r="J53" s="7"/>
      <c r="K53" s="1"/>
      <c r="L53" s="1"/>
    </row>
    <row r="54" spans="1:12">
      <c r="A54" s="1"/>
      <c r="B54" s="1"/>
      <c r="C54" s="1" t="s">
        <v>10</v>
      </c>
      <c r="D54" s="7">
        <f t="shared" ref="D54:I54" si="7">SUM(D51:D52)</f>
        <v>6906.31</v>
      </c>
      <c r="E54" s="7">
        <f t="shared" si="7"/>
        <v>0.1</v>
      </c>
      <c r="F54" s="7">
        <f t="shared" si="7"/>
        <v>0</v>
      </c>
      <c r="G54" s="7">
        <f t="shared" si="7"/>
        <v>0</v>
      </c>
      <c r="H54" s="7">
        <f t="shared" si="7"/>
        <v>0</v>
      </c>
      <c r="I54" s="7">
        <f t="shared" si="7"/>
        <v>0</v>
      </c>
      <c r="J54" s="7">
        <f>SUM(D54:H54)</f>
        <v>6906.4100000000008</v>
      </c>
      <c r="K54" s="1"/>
      <c r="L54" s="1"/>
    </row>
    <row r="55" spans="1:12">
      <c r="A55" s="1"/>
      <c r="B55" s="1"/>
      <c r="C55" s="1"/>
      <c r="D55" s="7"/>
      <c r="E55" s="7"/>
      <c r="F55" s="7"/>
      <c r="G55" s="7"/>
      <c r="H55" s="7"/>
      <c r="I55" s="7"/>
      <c r="J55" s="7"/>
      <c r="K55" s="1"/>
      <c r="L55" s="1"/>
    </row>
    <row r="56" spans="1:12">
      <c r="A56" s="1"/>
      <c r="B56" s="1"/>
      <c r="C56" s="1"/>
      <c r="D56" s="7"/>
      <c r="E56" s="7"/>
      <c r="F56" s="7"/>
      <c r="G56" s="7"/>
      <c r="H56" s="7"/>
      <c r="I56" s="7"/>
      <c r="J56" s="7"/>
      <c r="K56" s="1"/>
      <c r="L56" s="1"/>
    </row>
    <row r="57" spans="1:12">
      <c r="A57" s="1">
        <v>29</v>
      </c>
      <c r="B57" s="1" t="s">
        <v>22</v>
      </c>
      <c r="C57" s="1" t="s">
        <v>12</v>
      </c>
      <c r="D57" s="7">
        <v>11744.15</v>
      </c>
      <c r="E57" s="7">
        <v>1.47</v>
      </c>
      <c r="F57" s="7"/>
      <c r="G57" s="7"/>
      <c r="H57" s="7"/>
      <c r="I57" s="7"/>
      <c r="J57" s="7">
        <f>SUM(D57:H57)</f>
        <v>11745.619999999999</v>
      </c>
      <c r="K57" s="1"/>
      <c r="L57" s="1"/>
    </row>
    <row r="58" spans="1:12">
      <c r="A58" s="1"/>
      <c r="B58" s="1"/>
      <c r="C58" s="1" t="s">
        <v>35</v>
      </c>
      <c r="D58" s="7">
        <v>539.04999999999995</v>
      </c>
      <c r="E58" s="7">
        <v>0.2</v>
      </c>
      <c r="F58" s="7"/>
      <c r="G58" s="7"/>
      <c r="H58" s="7"/>
      <c r="I58" s="7"/>
      <c r="J58" s="7">
        <f>SUM(D58:H58)</f>
        <v>539.25</v>
      </c>
      <c r="K58" s="1"/>
      <c r="L58" s="1"/>
    </row>
    <row r="59" spans="1:12">
      <c r="A59" s="1"/>
      <c r="B59" s="1"/>
      <c r="C59" s="1" t="s">
        <v>13</v>
      </c>
      <c r="D59" s="7">
        <v>781.71</v>
      </c>
      <c r="E59" s="7">
        <v>0.24</v>
      </c>
      <c r="F59" s="7"/>
      <c r="G59" s="7"/>
      <c r="H59" s="7"/>
      <c r="I59" s="7"/>
      <c r="J59" s="7"/>
      <c r="K59" s="1"/>
      <c r="L59" s="1"/>
    </row>
    <row r="60" spans="1:12">
      <c r="A60" s="1"/>
      <c r="B60" s="1"/>
      <c r="C60" s="1" t="s">
        <v>78</v>
      </c>
      <c r="D60" s="7">
        <v>1616.88</v>
      </c>
      <c r="E60" s="7">
        <v>0.31</v>
      </c>
      <c r="F60" s="7"/>
      <c r="G60" s="7"/>
      <c r="H60" s="7"/>
      <c r="I60" s="7"/>
      <c r="J60" s="7"/>
      <c r="K60" s="1"/>
      <c r="L60" s="1"/>
    </row>
    <row r="61" spans="1:12">
      <c r="A61" s="1"/>
      <c r="B61" s="1"/>
      <c r="C61" s="1"/>
      <c r="D61" s="7"/>
      <c r="E61" s="7"/>
      <c r="F61" s="7"/>
      <c r="G61" s="7"/>
      <c r="H61" s="7"/>
      <c r="I61" s="7"/>
      <c r="J61" s="7"/>
      <c r="K61" s="1"/>
      <c r="L61" s="1"/>
    </row>
    <row r="62" spans="1:12">
      <c r="A62" s="1"/>
      <c r="B62" s="1"/>
      <c r="C62" s="1" t="s">
        <v>10</v>
      </c>
      <c r="D62" s="7">
        <f t="shared" ref="D62:I62" si="8">SUM(D57:D60)</f>
        <v>14681.79</v>
      </c>
      <c r="E62" s="7">
        <f t="shared" si="8"/>
        <v>2.2199999999999998</v>
      </c>
      <c r="F62" s="7">
        <f t="shared" si="8"/>
        <v>0</v>
      </c>
      <c r="G62" s="7">
        <f t="shared" si="8"/>
        <v>0</v>
      </c>
      <c r="H62" s="7">
        <f t="shared" si="8"/>
        <v>0</v>
      </c>
      <c r="I62" s="7">
        <f t="shared" si="8"/>
        <v>0</v>
      </c>
      <c r="J62" s="7">
        <f>SUM(D62:H62)</f>
        <v>14684.01</v>
      </c>
      <c r="K62" s="1"/>
      <c r="L62" s="1"/>
    </row>
    <row r="63" spans="1:12">
      <c r="A63" s="1"/>
      <c r="B63" s="1"/>
      <c r="C63" s="1"/>
      <c r="D63" s="7"/>
      <c r="E63" s="7"/>
      <c r="F63" s="7"/>
      <c r="G63" s="7"/>
      <c r="H63" s="7"/>
      <c r="I63" s="7"/>
      <c r="J63" s="7"/>
      <c r="K63" s="1"/>
      <c r="L63" s="1"/>
    </row>
    <row r="64" spans="1:12">
      <c r="A64" s="1">
        <v>30</v>
      </c>
      <c r="B64" s="1" t="s">
        <v>23</v>
      </c>
      <c r="C64" s="1" t="s">
        <v>12</v>
      </c>
      <c r="D64" s="7">
        <v>4321.7299999999996</v>
      </c>
      <c r="E64" s="7">
        <v>35.15</v>
      </c>
      <c r="F64" s="7">
        <v>32.46</v>
      </c>
      <c r="G64" s="7"/>
      <c r="H64" s="7"/>
      <c r="I64" s="7"/>
      <c r="J64" s="7">
        <f>SUM(D64:H64)</f>
        <v>4389.3399999999992</v>
      </c>
      <c r="K64" s="1"/>
      <c r="L64" s="1"/>
    </row>
    <row r="65" spans="1:12">
      <c r="A65" s="1"/>
      <c r="B65" s="1"/>
      <c r="C65" s="1" t="s">
        <v>13</v>
      </c>
      <c r="D65" s="7"/>
      <c r="E65" s="7"/>
      <c r="F65" s="7"/>
      <c r="G65" s="7"/>
      <c r="H65" s="7"/>
      <c r="I65" s="7"/>
      <c r="J65" s="7"/>
      <c r="K65" s="1"/>
      <c r="L65" s="1"/>
    </row>
    <row r="66" spans="1:12">
      <c r="A66" s="1"/>
      <c r="B66" s="1"/>
      <c r="C66" s="1"/>
      <c r="D66" s="7"/>
      <c r="E66" s="7"/>
      <c r="F66" s="7"/>
      <c r="G66" s="7"/>
      <c r="H66" s="7"/>
      <c r="I66" s="7"/>
      <c r="J66" s="7"/>
      <c r="K66" s="1"/>
      <c r="L66" s="1"/>
    </row>
    <row r="67" spans="1:12">
      <c r="A67" s="1"/>
      <c r="B67" s="1"/>
      <c r="C67" s="1" t="s">
        <v>10</v>
      </c>
      <c r="D67" s="7">
        <f t="shared" ref="D67:I67" si="9">SUM(D64:D65)</f>
        <v>4321.7299999999996</v>
      </c>
      <c r="E67" s="7">
        <f t="shared" si="9"/>
        <v>35.15</v>
      </c>
      <c r="F67" s="7">
        <f t="shared" si="9"/>
        <v>32.46</v>
      </c>
      <c r="G67" s="7">
        <f t="shared" si="9"/>
        <v>0</v>
      </c>
      <c r="H67" s="7">
        <f t="shared" si="9"/>
        <v>0</v>
      </c>
      <c r="I67" s="7">
        <f t="shared" si="9"/>
        <v>0</v>
      </c>
      <c r="J67" s="7">
        <f>SUM(D67:H67)</f>
        <v>4389.3399999999992</v>
      </c>
      <c r="K67" s="1"/>
      <c r="L67" s="1"/>
    </row>
    <row r="68" spans="1:12">
      <c r="A68" s="1"/>
      <c r="B68" s="1"/>
      <c r="C68" s="1"/>
      <c r="D68" s="7"/>
      <c r="E68" s="7"/>
      <c r="F68" s="7"/>
      <c r="G68" s="7"/>
      <c r="H68" s="7"/>
      <c r="I68" s="7"/>
      <c r="J68" s="7"/>
      <c r="K68" s="1"/>
      <c r="L68" s="1"/>
    </row>
    <row r="69" spans="1:12">
      <c r="A69" s="1"/>
      <c r="B69" s="1"/>
      <c r="C69" s="1"/>
      <c r="D69" s="7"/>
      <c r="E69" s="7"/>
      <c r="F69" s="7"/>
      <c r="G69" s="7"/>
      <c r="H69" s="7"/>
      <c r="I69" s="7"/>
      <c r="J69" s="7"/>
      <c r="K69" s="1"/>
      <c r="L69" s="1"/>
    </row>
    <row r="70" spans="1:12">
      <c r="A70" s="1">
        <v>31</v>
      </c>
      <c r="B70" s="1" t="s">
        <v>24</v>
      </c>
      <c r="C70" s="1" t="s">
        <v>12</v>
      </c>
      <c r="D70" s="7">
        <v>1993.75</v>
      </c>
      <c r="E70" s="7"/>
      <c r="F70" s="7"/>
      <c r="G70" s="7"/>
      <c r="H70" s="7"/>
      <c r="I70" s="7"/>
      <c r="J70" s="7">
        <f>SUM(D70:H70)</f>
        <v>1993.75</v>
      </c>
      <c r="K70" s="1"/>
      <c r="L70" s="1"/>
    </row>
    <row r="71" spans="1:12">
      <c r="A71" s="1"/>
      <c r="B71" s="1"/>
      <c r="C71" s="1" t="s">
        <v>13</v>
      </c>
      <c r="D71" s="7">
        <v>80.33</v>
      </c>
      <c r="E71" s="7"/>
      <c r="F71" s="7"/>
      <c r="G71" s="7"/>
      <c r="H71" s="7"/>
      <c r="I71" s="7"/>
      <c r="J71" s="7">
        <f>SUM(D71:H71)</f>
        <v>80.33</v>
      </c>
      <c r="K71" s="1"/>
      <c r="L71" s="1"/>
    </row>
    <row r="72" spans="1:12">
      <c r="A72" s="1"/>
      <c r="B72" s="1"/>
      <c r="C72" s="1"/>
      <c r="D72" s="7"/>
      <c r="E72" s="7"/>
      <c r="F72" s="7"/>
      <c r="G72" s="7"/>
      <c r="H72" s="7"/>
      <c r="I72" s="7"/>
      <c r="J72" s="7"/>
      <c r="K72" s="1"/>
      <c r="L72" s="1"/>
    </row>
    <row r="73" spans="1:12">
      <c r="A73" s="1"/>
      <c r="B73" s="1"/>
      <c r="C73" s="1" t="s">
        <v>10</v>
      </c>
      <c r="D73" s="7">
        <f t="shared" ref="D73:I73" si="10">SUM(D70:D71)</f>
        <v>2074.08</v>
      </c>
      <c r="E73" s="7">
        <f t="shared" si="10"/>
        <v>0</v>
      </c>
      <c r="F73" s="7">
        <f t="shared" si="10"/>
        <v>0</v>
      </c>
      <c r="G73" s="7">
        <f t="shared" si="10"/>
        <v>0</v>
      </c>
      <c r="H73" s="7">
        <f t="shared" si="10"/>
        <v>0</v>
      </c>
      <c r="I73" s="7">
        <f t="shared" si="10"/>
        <v>0</v>
      </c>
      <c r="J73" s="7">
        <f>SUM(D73:H73)</f>
        <v>2074.08</v>
      </c>
      <c r="K73" s="1"/>
      <c r="L73" s="1"/>
    </row>
    <row r="74" spans="1:12">
      <c r="A74" s="1"/>
      <c r="B74" s="1"/>
      <c r="C74" s="1"/>
      <c r="D74" s="7"/>
      <c r="E74" s="7"/>
      <c r="F74" s="7"/>
      <c r="G74" s="7"/>
      <c r="H74" s="7"/>
      <c r="I74" s="7"/>
      <c r="J74" s="7"/>
      <c r="K74" s="1"/>
      <c r="L74" s="1"/>
    </row>
    <row r="75" spans="1:12">
      <c r="A75" s="1"/>
      <c r="B75" s="1"/>
      <c r="C75" s="1"/>
      <c r="D75" s="7"/>
      <c r="E75" s="7"/>
      <c r="F75" s="7"/>
      <c r="G75" s="7"/>
      <c r="H75" s="7"/>
      <c r="I75" s="7"/>
      <c r="J75" s="7"/>
      <c r="K75" s="1"/>
      <c r="L75" s="1"/>
    </row>
    <row r="76" spans="1:12">
      <c r="A76" s="1">
        <v>32</v>
      </c>
      <c r="B76" s="1" t="s">
        <v>25</v>
      </c>
      <c r="C76" s="1" t="s">
        <v>12</v>
      </c>
      <c r="D76" s="7">
        <v>8617.64</v>
      </c>
      <c r="E76" s="7">
        <v>329.28</v>
      </c>
      <c r="F76" s="7">
        <v>173.19</v>
      </c>
      <c r="G76" s="7"/>
      <c r="H76" s="7"/>
      <c r="I76" s="7"/>
      <c r="J76" s="7">
        <f>SUM(D76:H76)</f>
        <v>9120.11</v>
      </c>
      <c r="K76" s="1"/>
      <c r="L76" s="1"/>
    </row>
    <row r="77" spans="1:12">
      <c r="A77" s="1"/>
      <c r="B77" s="1"/>
      <c r="C77" s="1" t="s">
        <v>13</v>
      </c>
      <c r="D77" s="7">
        <v>368.53</v>
      </c>
      <c r="E77" s="7">
        <v>7.79</v>
      </c>
      <c r="F77" s="7">
        <v>4.16</v>
      </c>
      <c r="G77" s="7"/>
      <c r="H77" s="7"/>
      <c r="I77" s="7"/>
      <c r="J77" s="7">
        <f>SUM(D77:H77)</f>
        <v>380.48</v>
      </c>
      <c r="K77" s="1"/>
      <c r="L77" s="1"/>
    </row>
    <row r="78" spans="1:12">
      <c r="A78" s="1"/>
      <c r="B78" s="1"/>
      <c r="C78" s="1" t="s">
        <v>73</v>
      </c>
      <c r="D78" s="1">
        <v>890.48</v>
      </c>
      <c r="E78" s="1">
        <v>34.06</v>
      </c>
      <c r="F78" s="1">
        <v>18.29</v>
      </c>
      <c r="G78" s="1"/>
      <c r="H78" s="1"/>
      <c r="I78" s="1"/>
      <c r="J78" s="7">
        <f>SUM(D78:H78)</f>
        <v>942.82999999999993</v>
      </c>
      <c r="K78" s="1"/>
      <c r="L78" s="1"/>
    </row>
    <row r="79" spans="1:12">
      <c r="A79" s="1"/>
      <c r="B79" s="1"/>
      <c r="C79" s="1" t="s">
        <v>78</v>
      </c>
      <c r="D79" s="1">
        <v>1369.41</v>
      </c>
      <c r="E79" s="1">
        <v>50.99</v>
      </c>
      <c r="F79" s="1">
        <v>27.47</v>
      </c>
      <c r="G79" s="1"/>
      <c r="H79" s="1"/>
      <c r="I79" s="1"/>
      <c r="J79" s="7">
        <f>SUM(D79:H79)</f>
        <v>1447.8700000000001</v>
      </c>
      <c r="K79" s="1"/>
      <c r="L79" s="1"/>
    </row>
    <row r="80" spans="1:12">
      <c r="A80" s="1"/>
      <c r="B80" s="1"/>
      <c r="C80" s="1"/>
      <c r="D80" s="1"/>
      <c r="E80" s="1"/>
      <c r="F80" s="1"/>
      <c r="G80" s="1"/>
      <c r="H80" s="1"/>
      <c r="I80" s="1"/>
      <c r="J80" s="7"/>
      <c r="K80" s="1"/>
      <c r="L80" s="1"/>
    </row>
    <row r="81" spans="1:12">
      <c r="A81" s="1"/>
      <c r="B81" s="1"/>
      <c r="C81" s="1" t="s">
        <v>10</v>
      </c>
      <c r="D81" s="7">
        <f t="shared" ref="D81:J81" si="11">SUM(D76:D79)</f>
        <v>11246.06</v>
      </c>
      <c r="E81" s="7">
        <f t="shared" si="11"/>
        <v>422.12</v>
      </c>
      <c r="F81" s="7">
        <f t="shared" si="11"/>
        <v>223.10999999999999</v>
      </c>
      <c r="G81" s="7">
        <f t="shared" si="11"/>
        <v>0</v>
      </c>
      <c r="H81" s="7">
        <f t="shared" si="11"/>
        <v>0</v>
      </c>
      <c r="I81" s="7">
        <f t="shared" si="11"/>
        <v>0</v>
      </c>
      <c r="J81" s="7">
        <f t="shared" si="11"/>
        <v>11891.29</v>
      </c>
      <c r="K81" s="1"/>
      <c r="L81" s="1"/>
    </row>
    <row r="82" spans="1:12">
      <c r="A82" s="1"/>
      <c r="B82" s="1"/>
      <c r="C82" s="1"/>
      <c r="D82" s="7"/>
      <c r="E82" s="7"/>
      <c r="F82" s="7"/>
      <c r="G82" s="7"/>
      <c r="H82" s="7"/>
      <c r="I82" s="7"/>
      <c r="J82" s="7"/>
      <c r="K82" s="1"/>
      <c r="L82" s="1"/>
    </row>
    <row r="83" spans="1:12">
      <c r="A83" s="1"/>
      <c r="B83" s="1"/>
      <c r="C83" s="1"/>
      <c r="D83" s="7"/>
      <c r="E83" s="7"/>
      <c r="F83" s="7"/>
      <c r="G83" s="7"/>
      <c r="H83" s="7"/>
      <c r="I83" s="7"/>
      <c r="J83" s="7"/>
      <c r="K83" s="1"/>
      <c r="L83" s="1"/>
    </row>
    <row r="84" spans="1:12">
      <c r="A84" s="1">
        <v>33</v>
      </c>
      <c r="B84" s="1" t="s">
        <v>26</v>
      </c>
      <c r="C84" s="1" t="s">
        <v>12</v>
      </c>
      <c r="D84" s="7">
        <v>7808.94</v>
      </c>
      <c r="E84" s="7">
        <v>341.4</v>
      </c>
      <c r="F84" s="7">
        <v>303.2</v>
      </c>
      <c r="G84" s="7"/>
      <c r="H84" s="7"/>
      <c r="I84" s="7"/>
      <c r="J84" s="7">
        <f>SUM(D84:H84)</f>
        <v>8453.5399999999991</v>
      </c>
      <c r="K84" s="1"/>
      <c r="L84" s="1"/>
    </row>
    <row r="85" spans="1:12">
      <c r="A85" s="1"/>
      <c r="B85" s="1"/>
      <c r="C85" s="1" t="s">
        <v>13</v>
      </c>
      <c r="D85" s="7">
        <v>112.02</v>
      </c>
      <c r="E85" s="7">
        <v>4.8099999999999996</v>
      </c>
      <c r="F85" s="7">
        <v>3.76</v>
      </c>
      <c r="G85" s="7"/>
      <c r="H85" s="7"/>
      <c r="I85" s="7"/>
      <c r="J85" s="7">
        <f>SUM(D85:H85)</f>
        <v>120.59</v>
      </c>
      <c r="K85" s="1"/>
      <c r="L85" s="1"/>
    </row>
    <row r="86" spans="1:12">
      <c r="A86" s="1"/>
      <c r="B86" s="1"/>
      <c r="C86" s="1"/>
      <c r="D86" s="7"/>
      <c r="E86" s="7"/>
      <c r="F86" s="7"/>
      <c r="G86" s="7"/>
      <c r="H86" s="7"/>
      <c r="I86" s="7"/>
      <c r="J86" s="7"/>
      <c r="K86" s="1"/>
      <c r="L86" s="1"/>
    </row>
    <row r="87" spans="1:12">
      <c r="A87" s="1"/>
      <c r="B87" s="1"/>
      <c r="C87" s="1" t="s">
        <v>10</v>
      </c>
      <c r="D87" s="7">
        <f t="shared" ref="D87:I87" si="12">SUM(D84:D85)</f>
        <v>7920.96</v>
      </c>
      <c r="E87" s="7">
        <f t="shared" si="12"/>
        <v>346.21</v>
      </c>
      <c r="F87" s="7">
        <f t="shared" si="12"/>
        <v>306.95999999999998</v>
      </c>
      <c r="G87" s="7">
        <f t="shared" si="12"/>
        <v>0</v>
      </c>
      <c r="H87" s="7">
        <f t="shared" si="12"/>
        <v>0</v>
      </c>
      <c r="I87" s="7">
        <f t="shared" si="12"/>
        <v>0</v>
      </c>
      <c r="J87" s="7">
        <f>SUM(D87:H87)</f>
        <v>8574.1299999999992</v>
      </c>
      <c r="K87" s="1"/>
      <c r="L87" s="1"/>
    </row>
    <row r="88" spans="1:12">
      <c r="A88" s="1"/>
      <c r="B88" s="1"/>
      <c r="C88" s="1"/>
      <c r="D88" s="7"/>
      <c r="E88" s="7"/>
      <c r="F88" s="7"/>
      <c r="G88" s="7"/>
      <c r="H88" s="7"/>
      <c r="I88" s="7"/>
      <c r="J88" s="7"/>
      <c r="K88" s="1"/>
      <c r="L88" s="1"/>
    </row>
    <row r="89" spans="1:12">
      <c r="A89" s="1"/>
      <c r="B89" s="1"/>
      <c r="C89" s="1"/>
      <c r="D89" s="7"/>
      <c r="E89" s="7"/>
      <c r="F89" s="7"/>
      <c r="G89" s="7"/>
      <c r="H89" s="7"/>
      <c r="I89" s="7"/>
      <c r="J89" s="7"/>
      <c r="K89" s="1"/>
      <c r="L89" s="1"/>
    </row>
    <row r="90" spans="1:12">
      <c r="A90" s="1">
        <v>34</v>
      </c>
      <c r="B90" s="1" t="s">
        <v>27</v>
      </c>
      <c r="C90" s="1" t="s">
        <v>12</v>
      </c>
      <c r="D90" s="7">
        <v>6456.29</v>
      </c>
      <c r="E90" s="7">
        <v>3.9</v>
      </c>
      <c r="F90" s="7">
        <v>0.19</v>
      </c>
      <c r="G90" s="7"/>
      <c r="H90" s="7"/>
      <c r="I90" s="7"/>
      <c r="J90" s="7">
        <f>SUM(D90:H90)</f>
        <v>6460.3799999999992</v>
      </c>
      <c r="K90" s="1"/>
      <c r="L90" s="1"/>
    </row>
    <row r="91" spans="1:12">
      <c r="A91" s="1"/>
      <c r="B91" s="1"/>
      <c r="C91" s="1" t="s">
        <v>13</v>
      </c>
      <c r="D91" s="7">
        <v>509.37</v>
      </c>
      <c r="E91" s="7">
        <v>0.36</v>
      </c>
      <c r="F91" s="7">
        <v>-0.09</v>
      </c>
      <c r="G91" s="7"/>
      <c r="H91" s="7"/>
      <c r="I91" s="7"/>
      <c r="J91" s="7">
        <f>SUM(D91:H91)</f>
        <v>509.64000000000004</v>
      </c>
      <c r="K91" s="1"/>
      <c r="L91" s="1"/>
    </row>
    <row r="92" spans="1:12">
      <c r="A92" s="1"/>
      <c r="B92" s="1"/>
      <c r="C92" s="1" t="s">
        <v>78</v>
      </c>
      <c r="D92" s="7">
        <v>703.11</v>
      </c>
      <c r="E92" s="7"/>
      <c r="F92" s="7"/>
      <c r="G92" s="7"/>
      <c r="H92" s="7"/>
      <c r="I92" s="7"/>
      <c r="J92" s="7">
        <f>SUM(D92:H92)</f>
        <v>703.11</v>
      </c>
      <c r="K92" s="1"/>
      <c r="L92" s="1"/>
    </row>
    <row r="93" spans="1:12">
      <c r="A93" s="1"/>
      <c r="B93" s="1"/>
      <c r="C93" s="1"/>
      <c r="D93" s="7"/>
      <c r="E93" s="7"/>
      <c r="F93" s="7"/>
      <c r="G93" s="7"/>
      <c r="H93" s="7"/>
      <c r="I93" s="7"/>
      <c r="J93" s="7"/>
      <c r="K93" s="1"/>
      <c r="L93" s="1"/>
    </row>
    <row r="94" spans="1:12">
      <c r="A94" s="1"/>
      <c r="B94" s="1"/>
      <c r="C94" s="1" t="s">
        <v>10</v>
      </c>
      <c r="D94" s="7">
        <f t="shared" ref="D94:I94" si="13">SUM(D90:D93)</f>
        <v>7668.7699999999995</v>
      </c>
      <c r="E94" s="7">
        <f t="shared" si="13"/>
        <v>4.26</v>
      </c>
      <c r="F94" s="7">
        <f t="shared" si="13"/>
        <v>0.1</v>
      </c>
      <c r="G94" s="7">
        <f t="shared" si="13"/>
        <v>0</v>
      </c>
      <c r="H94" s="7">
        <f t="shared" si="13"/>
        <v>0</v>
      </c>
      <c r="I94" s="7">
        <f t="shared" si="13"/>
        <v>0</v>
      </c>
      <c r="J94" s="7">
        <f>SUM(D94:H94)</f>
        <v>7673.13</v>
      </c>
      <c r="K94" s="1"/>
      <c r="L94" s="1"/>
    </row>
    <row r="95" spans="1:12">
      <c r="A95" s="1"/>
      <c r="B95" s="1"/>
      <c r="C95" s="1"/>
      <c r="D95" s="7"/>
      <c r="E95" s="7"/>
      <c r="F95" s="7"/>
      <c r="G95" s="7"/>
      <c r="H95" s="7"/>
      <c r="I95" s="7"/>
      <c r="J95" s="7"/>
      <c r="K95" s="1"/>
      <c r="L95" s="1"/>
    </row>
    <row r="96" spans="1:12">
      <c r="A96" s="1"/>
      <c r="B96" s="1"/>
      <c r="C96" s="1"/>
      <c r="D96" s="7"/>
      <c r="E96" s="7"/>
      <c r="F96" s="7"/>
      <c r="G96" s="7"/>
      <c r="H96" s="7"/>
      <c r="I96" s="7"/>
      <c r="J96" s="7"/>
      <c r="K96" s="1"/>
      <c r="L96" s="1"/>
    </row>
    <row r="97" spans="1:12">
      <c r="A97" s="1">
        <v>35</v>
      </c>
      <c r="B97" s="1" t="s">
        <v>28</v>
      </c>
      <c r="C97" s="1" t="s">
        <v>12</v>
      </c>
      <c r="D97" s="7">
        <v>6945.83</v>
      </c>
      <c r="E97" s="7">
        <v>225.6</v>
      </c>
      <c r="F97" s="7">
        <v>173.62</v>
      </c>
      <c r="G97" s="7">
        <v>16.47</v>
      </c>
      <c r="H97" s="7">
        <v>10.3</v>
      </c>
      <c r="I97" s="7"/>
      <c r="J97" s="7">
        <f>SUM(D97:H97)</f>
        <v>7371.8200000000006</v>
      </c>
      <c r="K97" s="1"/>
      <c r="L97" s="1"/>
    </row>
    <row r="98" spans="1:12">
      <c r="A98" s="1"/>
      <c r="B98" s="1"/>
      <c r="C98" s="1"/>
      <c r="D98" s="7"/>
      <c r="E98" s="7"/>
      <c r="F98" s="7"/>
      <c r="G98" s="7"/>
      <c r="H98" s="7" t="s">
        <v>70</v>
      </c>
      <c r="I98" s="7" t="s">
        <v>70</v>
      </c>
      <c r="J98" s="7">
        <f>SUM(D98:H98)</f>
        <v>0</v>
      </c>
      <c r="K98" s="1"/>
      <c r="L98" s="1"/>
    </row>
    <row r="99" spans="1:12">
      <c r="A99" s="1"/>
      <c r="B99" s="1"/>
      <c r="C99" s="1" t="s">
        <v>10</v>
      </c>
      <c r="D99" s="7">
        <f t="shared" ref="D99:I99" si="14">SUM(D97:D98)</f>
        <v>6945.83</v>
      </c>
      <c r="E99" s="7">
        <f t="shared" si="14"/>
        <v>225.6</v>
      </c>
      <c r="F99" s="7">
        <f t="shared" si="14"/>
        <v>173.62</v>
      </c>
      <c r="G99" s="7">
        <f t="shared" si="14"/>
        <v>16.47</v>
      </c>
      <c r="H99" s="7">
        <f t="shared" si="14"/>
        <v>10.3</v>
      </c>
      <c r="I99" s="7">
        <f t="shared" si="14"/>
        <v>0</v>
      </c>
      <c r="J99" s="7">
        <f>SUM(D99:H99)</f>
        <v>7371.8200000000006</v>
      </c>
      <c r="K99" s="1"/>
      <c r="L99" s="1"/>
    </row>
    <row r="100" spans="1:12">
      <c r="A100" s="1"/>
      <c r="B100" s="1"/>
      <c r="C100" s="1"/>
      <c r="D100" s="7"/>
      <c r="E100" s="7"/>
      <c r="F100" s="7"/>
      <c r="G100" s="7"/>
      <c r="H100" s="7"/>
      <c r="I100" s="7"/>
      <c r="J100" s="7"/>
      <c r="K100" s="1"/>
      <c r="L100" s="1"/>
    </row>
    <row r="101" spans="1:12">
      <c r="A101" s="1"/>
      <c r="B101" s="1"/>
      <c r="C101" s="1"/>
      <c r="D101" s="7"/>
      <c r="E101" s="7"/>
      <c r="F101" s="7"/>
      <c r="G101" s="7"/>
      <c r="H101" s="7"/>
      <c r="I101" s="7"/>
      <c r="J101" s="7"/>
      <c r="K101" s="1"/>
      <c r="L101" s="1"/>
    </row>
    <row r="102" spans="1:12">
      <c r="A102" s="1">
        <v>36</v>
      </c>
      <c r="B102" s="1" t="s">
        <v>29</v>
      </c>
      <c r="C102" s="1" t="s">
        <v>12</v>
      </c>
      <c r="D102" s="7">
        <v>5908.06</v>
      </c>
      <c r="E102" s="7">
        <v>395.57</v>
      </c>
      <c r="F102" s="7">
        <v>34.19</v>
      </c>
      <c r="G102" s="7"/>
      <c r="H102" s="7"/>
      <c r="I102" s="7"/>
      <c r="J102" s="7">
        <f>SUM(D102:H102)</f>
        <v>6337.82</v>
      </c>
      <c r="K102" s="1"/>
      <c r="L102" s="1"/>
    </row>
    <row r="103" spans="1:12">
      <c r="A103" s="1"/>
      <c r="B103" s="1"/>
      <c r="C103" s="1" t="s">
        <v>13</v>
      </c>
      <c r="D103" s="7">
        <v>360.19</v>
      </c>
      <c r="E103" s="7">
        <v>22.09</v>
      </c>
      <c r="F103" s="7">
        <v>2.1</v>
      </c>
      <c r="G103" s="7"/>
      <c r="H103" s="7"/>
      <c r="I103" s="7"/>
      <c r="J103" s="7">
        <f>SUM(D103:H103)</f>
        <v>384.38</v>
      </c>
      <c r="K103" s="1"/>
      <c r="L103" s="1"/>
    </row>
    <row r="104" spans="1:12">
      <c r="A104" s="1"/>
      <c r="B104" s="1"/>
      <c r="C104" s="1"/>
      <c r="D104" s="7"/>
      <c r="E104" s="7"/>
      <c r="F104" s="7"/>
      <c r="G104" s="7"/>
      <c r="H104" s="7"/>
      <c r="I104" s="7"/>
      <c r="J104" s="7"/>
      <c r="K104" s="1"/>
      <c r="L104" s="1"/>
    </row>
    <row r="105" spans="1:12">
      <c r="A105" s="1"/>
      <c r="B105" s="1"/>
      <c r="C105" s="1" t="s">
        <v>10</v>
      </c>
      <c r="D105" s="7">
        <f t="shared" ref="D105:I105" si="15">SUM(D102:D103)</f>
        <v>6268.25</v>
      </c>
      <c r="E105" s="7">
        <f t="shared" si="15"/>
        <v>417.65999999999997</v>
      </c>
      <c r="F105" s="7">
        <f t="shared" si="15"/>
        <v>36.29</v>
      </c>
      <c r="G105" s="7">
        <f t="shared" si="15"/>
        <v>0</v>
      </c>
      <c r="H105" s="7">
        <f t="shared" si="15"/>
        <v>0</v>
      </c>
      <c r="I105" s="7">
        <f t="shared" si="15"/>
        <v>0</v>
      </c>
      <c r="J105" s="7">
        <f>SUM(D105:H105)</f>
        <v>6722.2</v>
      </c>
      <c r="K105" s="1"/>
      <c r="L105" s="1"/>
    </row>
    <row r="106" spans="1:12">
      <c r="A106" s="1"/>
      <c r="B106" s="1"/>
      <c r="C106" s="1"/>
      <c r="D106" s="7"/>
      <c r="E106" s="7"/>
      <c r="F106" s="7"/>
      <c r="G106" s="7"/>
      <c r="H106" s="7"/>
      <c r="I106" s="7"/>
      <c r="J106" s="7"/>
      <c r="K106" s="1"/>
      <c r="L106" s="1"/>
    </row>
    <row r="107" spans="1:12">
      <c r="A107" s="1"/>
      <c r="B107" s="1"/>
      <c r="C107" s="1"/>
      <c r="D107" s="7"/>
      <c r="E107" s="7"/>
      <c r="F107" s="7"/>
      <c r="G107" s="7"/>
      <c r="H107" s="7"/>
      <c r="I107" s="7"/>
      <c r="J107" s="7"/>
      <c r="K107" s="1"/>
      <c r="L107" s="1"/>
    </row>
    <row r="108" spans="1:12">
      <c r="A108" s="1">
        <v>37</v>
      </c>
      <c r="B108" s="1" t="s">
        <v>30</v>
      </c>
      <c r="C108" s="1" t="s">
        <v>12</v>
      </c>
      <c r="D108" s="7">
        <v>7660.88</v>
      </c>
      <c r="E108" s="7">
        <v>29.53</v>
      </c>
      <c r="F108" s="7">
        <v>29.28</v>
      </c>
      <c r="G108" s="7">
        <v>28.86</v>
      </c>
      <c r="H108" s="7">
        <v>22.26</v>
      </c>
      <c r="I108" s="7"/>
      <c r="J108" s="7">
        <f>SUM(D108:H108)</f>
        <v>7770.8099999999995</v>
      </c>
      <c r="K108" s="1"/>
      <c r="L108" s="1"/>
    </row>
    <row r="109" spans="1:12">
      <c r="A109" s="1"/>
      <c r="B109" s="1"/>
      <c r="C109" s="1"/>
      <c r="D109" s="7"/>
      <c r="E109" s="7"/>
      <c r="F109" s="7"/>
      <c r="G109" s="7"/>
      <c r="H109" s="7"/>
      <c r="I109" s="7"/>
      <c r="J109" s="7">
        <f>SUM(D109:H109)</f>
        <v>0</v>
      </c>
      <c r="K109" s="1"/>
      <c r="L109" s="1"/>
    </row>
    <row r="110" spans="1:12">
      <c r="A110" s="1"/>
      <c r="B110" s="1"/>
      <c r="C110" s="1" t="s">
        <v>10</v>
      </c>
      <c r="D110" s="7">
        <f t="shared" ref="D110:I110" si="16">SUM(D108:D109)</f>
        <v>7660.88</v>
      </c>
      <c r="E110" s="7">
        <f t="shared" si="16"/>
        <v>29.53</v>
      </c>
      <c r="F110" s="7">
        <f t="shared" si="16"/>
        <v>29.28</v>
      </c>
      <c r="G110" s="7">
        <f t="shared" si="16"/>
        <v>28.86</v>
      </c>
      <c r="H110" s="7">
        <f t="shared" si="16"/>
        <v>22.26</v>
      </c>
      <c r="I110" s="7">
        <f t="shared" si="16"/>
        <v>0</v>
      </c>
      <c r="J110" s="7">
        <f>SUM(D110:H110)</f>
        <v>7770.8099999999995</v>
      </c>
      <c r="K110" s="1"/>
      <c r="L110" s="1"/>
    </row>
    <row r="111" spans="1:12">
      <c r="A111" s="1"/>
      <c r="B111" s="1"/>
      <c r="C111" s="1"/>
      <c r="D111" s="7"/>
      <c r="E111" s="7"/>
      <c r="F111" s="7"/>
      <c r="G111" s="7"/>
      <c r="H111" s="7" t="s">
        <v>70</v>
      </c>
      <c r="I111" s="7" t="s">
        <v>70</v>
      </c>
      <c r="J111" s="7"/>
      <c r="K111" s="1"/>
      <c r="L111" s="1"/>
    </row>
    <row r="112" spans="1:12">
      <c r="A112" s="1"/>
      <c r="B112" s="1"/>
      <c r="C112" s="1"/>
      <c r="D112" s="7"/>
      <c r="E112" s="7"/>
      <c r="F112" s="7"/>
      <c r="G112" s="7"/>
      <c r="H112" s="7"/>
      <c r="I112" s="7"/>
      <c r="J112" s="7"/>
      <c r="K112" s="1"/>
      <c r="L112" s="1"/>
    </row>
    <row r="113" spans="1:12">
      <c r="A113" s="1">
        <v>38</v>
      </c>
      <c r="B113" s="1" t="s">
        <v>31</v>
      </c>
      <c r="C113" s="1" t="s">
        <v>12</v>
      </c>
      <c r="D113" s="7">
        <v>11120.97</v>
      </c>
      <c r="E113" s="7">
        <v>256.47000000000003</v>
      </c>
      <c r="F113" s="7">
        <v>251.03</v>
      </c>
      <c r="G113" s="7">
        <v>229.82</v>
      </c>
      <c r="H113" s="7">
        <v>239.26</v>
      </c>
      <c r="I113" s="7"/>
      <c r="J113" s="7">
        <f>SUM(D113:H113)</f>
        <v>12097.55</v>
      </c>
      <c r="K113" s="1"/>
      <c r="L113" s="1"/>
    </row>
    <row r="114" spans="1:12">
      <c r="A114" s="1"/>
      <c r="B114" s="1"/>
      <c r="C114" s="1" t="s">
        <v>13</v>
      </c>
      <c r="D114" s="7">
        <v>963.46</v>
      </c>
      <c r="E114" s="7">
        <v>21</v>
      </c>
      <c r="F114" s="7">
        <v>20.68</v>
      </c>
      <c r="G114" s="7">
        <v>20.39</v>
      </c>
      <c r="H114" s="7">
        <v>14.19</v>
      </c>
      <c r="I114" s="7"/>
      <c r="J114" s="7">
        <f>SUM(D114:H114)</f>
        <v>1039.72</v>
      </c>
      <c r="K114" s="1"/>
      <c r="L114" s="1"/>
    </row>
    <row r="115" spans="1:12">
      <c r="A115" s="1"/>
      <c r="B115" s="1"/>
      <c r="C115" s="1" t="s">
        <v>78</v>
      </c>
      <c r="D115" s="7">
        <v>1824.62</v>
      </c>
      <c r="E115" s="7">
        <v>41.91</v>
      </c>
      <c r="F115" s="7"/>
      <c r="G115" s="7"/>
      <c r="H115" s="7"/>
      <c r="I115" s="7"/>
      <c r="J115" s="7"/>
      <c r="K115" s="1"/>
      <c r="L115" s="1"/>
    </row>
    <row r="116" spans="1:12">
      <c r="A116" s="1"/>
      <c r="B116" s="1"/>
      <c r="C116" s="1"/>
      <c r="D116" s="7"/>
      <c r="E116" s="7"/>
      <c r="F116" s="7"/>
      <c r="G116" s="7"/>
      <c r="H116" s="7"/>
      <c r="I116" s="7"/>
      <c r="J116" s="7"/>
      <c r="K116" s="1"/>
      <c r="L116" s="1"/>
    </row>
    <row r="117" spans="1:12">
      <c r="A117" s="1"/>
      <c r="B117" s="1"/>
      <c r="C117" s="1" t="s">
        <v>10</v>
      </c>
      <c r="D117" s="7">
        <f t="shared" ref="D117:I117" si="17">SUM(D113:D115)</f>
        <v>13909.05</v>
      </c>
      <c r="E117" s="7">
        <f t="shared" si="17"/>
        <v>319.38</v>
      </c>
      <c r="F117" s="7">
        <f t="shared" si="17"/>
        <v>271.70999999999998</v>
      </c>
      <c r="G117" s="7">
        <f t="shared" si="17"/>
        <v>250.20999999999998</v>
      </c>
      <c r="H117" s="7">
        <f t="shared" si="17"/>
        <v>253.45</v>
      </c>
      <c r="I117" s="7">
        <f t="shared" si="17"/>
        <v>0</v>
      </c>
      <c r="J117" s="7">
        <f>SUM(D117:H117)</f>
        <v>15003.799999999997</v>
      </c>
      <c r="K117" s="1"/>
      <c r="L117" s="1"/>
    </row>
    <row r="118" spans="1:12">
      <c r="A118" s="1"/>
      <c r="B118" s="1"/>
      <c r="C118" s="1"/>
      <c r="D118" s="7"/>
      <c r="E118" s="7"/>
      <c r="F118" s="7"/>
      <c r="G118" s="7"/>
      <c r="H118" s="7"/>
      <c r="I118" s="7"/>
      <c r="J118" s="7"/>
      <c r="K118" s="1"/>
      <c r="L118" s="1"/>
    </row>
    <row r="119" spans="1:12">
      <c r="A119" s="1">
        <v>39</v>
      </c>
      <c r="B119" s="1" t="s">
        <v>32</v>
      </c>
      <c r="C119" s="1" t="s">
        <v>12</v>
      </c>
      <c r="D119" s="7">
        <v>0</v>
      </c>
      <c r="E119" s="7">
        <v>0</v>
      </c>
      <c r="F119" s="7">
        <v>0</v>
      </c>
      <c r="G119" s="7"/>
      <c r="H119" s="7"/>
      <c r="I119" s="7"/>
      <c r="J119" s="7">
        <f>SUM(D119:H119)</f>
        <v>0</v>
      </c>
      <c r="K119" s="1"/>
      <c r="L119" s="1"/>
    </row>
    <row r="120" spans="1:12">
      <c r="A120" s="1"/>
      <c r="B120" s="1"/>
      <c r="C120" s="1"/>
      <c r="D120" s="7"/>
      <c r="E120" s="7"/>
      <c r="F120" s="7"/>
      <c r="G120" s="7"/>
      <c r="H120" s="7"/>
      <c r="I120" s="7"/>
      <c r="J120" s="7">
        <f>SUM(D120:H120)</f>
        <v>0</v>
      </c>
      <c r="K120" s="1"/>
      <c r="L120" s="1"/>
    </row>
    <row r="121" spans="1:12">
      <c r="A121" s="1"/>
      <c r="B121" s="1"/>
      <c r="C121" s="1" t="s">
        <v>10</v>
      </c>
      <c r="D121" s="7"/>
      <c r="E121" s="7"/>
      <c r="F121" s="7"/>
      <c r="G121" s="7"/>
      <c r="H121" s="7"/>
      <c r="I121" s="7"/>
      <c r="J121" s="7">
        <f>SUM(D121:H121)</f>
        <v>0</v>
      </c>
      <c r="K121" s="1"/>
      <c r="L121" s="1"/>
    </row>
    <row r="122" spans="1:12">
      <c r="A122" s="1"/>
      <c r="B122" s="1"/>
      <c r="C122" s="1"/>
      <c r="D122" s="7"/>
      <c r="E122" s="7"/>
      <c r="F122" s="7"/>
      <c r="G122" s="7"/>
      <c r="H122" s="7"/>
      <c r="I122" s="7"/>
      <c r="J122" s="7"/>
      <c r="K122" s="1"/>
      <c r="L122" s="1"/>
    </row>
    <row r="123" spans="1:12">
      <c r="A123" s="1"/>
      <c r="B123" s="1"/>
      <c r="C123" s="1"/>
      <c r="D123" s="7"/>
      <c r="E123" s="7"/>
      <c r="F123" s="7"/>
      <c r="G123" s="7"/>
      <c r="H123" s="7"/>
      <c r="I123" s="7"/>
      <c r="J123" s="7"/>
      <c r="K123" s="1"/>
      <c r="L123" s="1"/>
    </row>
    <row r="124" spans="1:12">
      <c r="A124" s="1">
        <v>40</v>
      </c>
      <c r="B124" s="1" t="s">
        <v>33</v>
      </c>
      <c r="C124" s="1" t="s">
        <v>12</v>
      </c>
      <c r="D124" s="7">
        <v>9279.11</v>
      </c>
      <c r="E124" s="7">
        <v>679.62</v>
      </c>
      <c r="F124" s="7">
        <v>334.63</v>
      </c>
      <c r="G124" s="7"/>
      <c r="H124" s="7"/>
      <c r="I124" s="7"/>
      <c r="J124" s="7">
        <f>SUM(D124:H124)</f>
        <v>10293.36</v>
      </c>
      <c r="K124" s="1"/>
      <c r="L124" s="1"/>
    </row>
    <row r="125" spans="1:12">
      <c r="A125" s="1"/>
      <c r="B125" s="1"/>
      <c r="C125" s="1"/>
      <c r="D125" s="7"/>
      <c r="E125" s="7"/>
      <c r="F125" s="7"/>
      <c r="G125" s="7"/>
      <c r="H125" s="7"/>
      <c r="I125" s="7"/>
      <c r="J125" s="7">
        <f>SUM(D125:H125)</f>
        <v>0</v>
      </c>
      <c r="K125" s="1"/>
      <c r="L125" s="1"/>
    </row>
    <row r="126" spans="1:12">
      <c r="A126" s="1"/>
      <c r="B126" s="1"/>
      <c r="C126" s="1" t="s">
        <v>10</v>
      </c>
      <c r="D126" s="7">
        <f t="shared" ref="D126:I126" si="18">SUM(D124:D125)</f>
        <v>9279.11</v>
      </c>
      <c r="E126" s="7">
        <f t="shared" si="18"/>
        <v>679.62</v>
      </c>
      <c r="F126" s="7">
        <f t="shared" si="18"/>
        <v>334.63</v>
      </c>
      <c r="G126" s="7">
        <f t="shared" si="18"/>
        <v>0</v>
      </c>
      <c r="H126" s="7">
        <f t="shared" si="18"/>
        <v>0</v>
      </c>
      <c r="I126" s="7">
        <f t="shared" si="18"/>
        <v>0</v>
      </c>
      <c r="J126" s="7">
        <f>SUM(D126:H126)</f>
        <v>10293.36</v>
      </c>
      <c r="K126" s="1"/>
      <c r="L126" s="1"/>
    </row>
    <row r="127" spans="1:12">
      <c r="A127" s="1"/>
      <c r="B127" s="1"/>
      <c r="C127" s="1"/>
      <c r="D127" s="7"/>
      <c r="E127" s="7"/>
      <c r="F127" s="7"/>
      <c r="G127" s="7"/>
      <c r="H127" s="7"/>
      <c r="I127" s="7"/>
      <c r="J127" s="7"/>
      <c r="K127" s="1"/>
      <c r="L127" s="1"/>
    </row>
    <row r="128" spans="1:12">
      <c r="A128" s="1"/>
      <c r="B128" s="1"/>
      <c r="C128" s="1"/>
      <c r="D128" s="7"/>
      <c r="E128" s="7"/>
      <c r="F128" s="7"/>
      <c r="G128" s="7"/>
      <c r="H128" s="7"/>
      <c r="I128" s="7"/>
      <c r="J128" s="7"/>
      <c r="K128" s="1"/>
      <c r="L128" s="1"/>
    </row>
    <row r="129" spans="1:12">
      <c r="A129" s="1">
        <v>41</v>
      </c>
      <c r="B129" s="1" t="s">
        <v>34</v>
      </c>
      <c r="C129" s="1" t="s">
        <v>12</v>
      </c>
      <c r="D129" s="7">
        <v>6941.96</v>
      </c>
      <c r="E129" s="7">
        <v>306.58</v>
      </c>
      <c r="F129" s="7">
        <v>0</v>
      </c>
      <c r="G129" s="7"/>
      <c r="H129" s="7"/>
      <c r="I129" s="7"/>
      <c r="J129" s="7">
        <f>SUM(D129:H129)</f>
        <v>7248.54</v>
      </c>
      <c r="K129" s="1"/>
      <c r="L129" s="1"/>
    </row>
    <row r="130" spans="1:12">
      <c r="A130" s="1"/>
      <c r="B130" s="1"/>
      <c r="C130" s="1" t="s">
        <v>35</v>
      </c>
      <c r="D130" s="7">
        <v>332.84</v>
      </c>
      <c r="E130" s="7">
        <v>13.98</v>
      </c>
      <c r="F130" s="7"/>
      <c r="G130" s="7"/>
      <c r="H130" s="7"/>
      <c r="I130" s="7"/>
      <c r="J130" s="7">
        <f>SUM(D130:H130)</f>
        <v>346.82</v>
      </c>
      <c r="K130" s="1"/>
      <c r="L130" s="1"/>
    </row>
    <row r="131" spans="1:12">
      <c r="A131" s="1"/>
      <c r="B131" s="1"/>
      <c r="C131" s="1"/>
      <c r="D131" s="7"/>
      <c r="E131" s="7"/>
      <c r="F131" s="7"/>
      <c r="G131" s="7"/>
      <c r="H131" s="7"/>
      <c r="I131" s="7"/>
      <c r="J131" s="7"/>
      <c r="K131" s="1"/>
      <c r="L131" s="1"/>
    </row>
    <row r="132" spans="1:12">
      <c r="A132" s="1"/>
      <c r="B132" s="1"/>
      <c r="C132" s="1" t="s">
        <v>10</v>
      </c>
      <c r="D132" s="7">
        <f t="shared" ref="D132:I132" si="19">SUM(D129:D130)</f>
        <v>7274.8</v>
      </c>
      <c r="E132" s="7">
        <f t="shared" si="19"/>
        <v>320.56</v>
      </c>
      <c r="F132" s="7">
        <f t="shared" si="19"/>
        <v>0</v>
      </c>
      <c r="G132" s="7">
        <f t="shared" si="19"/>
        <v>0</v>
      </c>
      <c r="H132" s="7">
        <f t="shared" si="19"/>
        <v>0</v>
      </c>
      <c r="I132" s="7">
        <f t="shared" si="19"/>
        <v>0</v>
      </c>
      <c r="J132" s="7">
        <f>SUM(D132:H132)</f>
        <v>7595.3600000000006</v>
      </c>
      <c r="K132" s="1"/>
      <c r="L132" s="1"/>
    </row>
    <row r="133" spans="1:12">
      <c r="A133" s="1"/>
      <c r="B133" s="1"/>
      <c r="C133" s="1"/>
      <c r="D133" s="7"/>
      <c r="E133" s="7"/>
      <c r="F133" s="7"/>
      <c r="G133" s="7"/>
      <c r="H133" s="7"/>
      <c r="I133" s="7"/>
      <c r="J133" s="7"/>
      <c r="K133" s="1"/>
      <c r="L133" s="1"/>
    </row>
    <row r="134" spans="1:12">
      <c r="A134" s="1"/>
      <c r="B134" s="1"/>
      <c r="C134" s="1"/>
      <c r="D134" s="7"/>
      <c r="E134" s="7"/>
      <c r="F134" s="7"/>
      <c r="G134" s="7"/>
      <c r="H134" s="7"/>
      <c r="I134" s="7"/>
      <c r="J134" s="7"/>
      <c r="K134" s="1"/>
      <c r="L134" s="1"/>
    </row>
    <row r="135" spans="1:12">
      <c r="A135" s="1">
        <v>42</v>
      </c>
      <c r="B135" s="1" t="s">
        <v>36</v>
      </c>
      <c r="C135" s="1" t="s">
        <v>12</v>
      </c>
      <c r="D135" s="7">
        <v>6767.87</v>
      </c>
      <c r="E135" s="7"/>
      <c r="F135" s="7"/>
      <c r="G135" s="7"/>
      <c r="H135" s="7"/>
      <c r="I135" s="7"/>
      <c r="J135" s="7">
        <f>SUM(D135:H135)</f>
        <v>6767.87</v>
      </c>
      <c r="K135" s="1"/>
      <c r="L135" s="1"/>
    </row>
    <row r="136" spans="1:12">
      <c r="A136" s="1"/>
      <c r="B136" s="1"/>
      <c r="C136" s="1" t="s">
        <v>13</v>
      </c>
      <c r="D136" s="7">
        <v>240.77</v>
      </c>
      <c r="E136" s="7"/>
      <c r="F136" s="7"/>
      <c r="G136" s="7"/>
      <c r="H136" s="7"/>
      <c r="I136" s="7"/>
      <c r="J136" s="7">
        <f>SUM(D136:H136)</f>
        <v>240.77</v>
      </c>
      <c r="K136" s="1"/>
      <c r="L136" s="1"/>
    </row>
    <row r="137" spans="1:12">
      <c r="A137" s="1"/>
      <c r="B137" s="1"/>
      <c r="C137" s="1"/>
      <c r="D137" s="7"/>
      <c r="E137" s="7"/>
      <c r="F137" s="7"/>
      <c r="G137" s="7"/>
      <c r="H137" s="7"/>
      <c r="I137" s="7"/>
      <c r="J137" s="7"/>
      <c r="K137" s="1"/>
      <c r="L137" s="1"/>
    </row>
    <row r="138" spans="1:12">
      <c r="A138" s="1"/>
      <c r="B138" s="1"/>
      <c r="C138" s="1" t="s">
        <v>10</v>
      </c>
      <c r="D138" s="7">
        <f t="shared" ref="D138:I138" si="20">SUM(D135:D136)</f>
        <v>7008.64</v>
      </c>
      <c r="E138" s="7">
        <f t="shared" si="20"/>
        <v>0</v>
      </c>
      <c r="F138" s="7">
        <f t="shared" si="20"/>
        <v>0</v>
      </c>
      <c r="G138" s="7">
        <f t="shared" si="20"/>
        <v>0</v>
      </c>
      <c r="H138" s="7">
        <f t="shared" si="20"/>
        <v>0</v>
      </c>
      <c r="I138" s="7">
        <f t="shared" si="20"/>
        <v>0</v>
      </c>
      <c r="J138" s="7">
        <f>SUM(D138:H138)</f>
        <v>7008.64</v>
      </c>
      <c r="K138" s="1"/>
      <c r="L138" s="1"/>
    </row>
    <row r="139" spans="1:12">
      <c r="A139" s="1"/>
      <c r="B139" s="1"/>
      <c r="C139" s="1"/>
      <c r="D139" s="7"/>
      <c r="E139" s="7"/>
      <c r="F139" s="7"/>
      <c r="G139" s="7"/>
      <c r="H139" s="7"/>
      <c r="I139" s="7"/>
      <c r="J139" s="7"/>
      <c r="K139" s="1"/>
      <c r="L139" s="1"/>
    </row>
    <row r="140" spans="1:12">
      <c r="A140" s="1"/>
      <c r="B140" s="1"/>
      <c r="C140" s="1"/>
      <c r="D140" s="7"/>
      <c r="E140" s="7"/>
      <c r="F140" s="7"/>
      <c r="G140" s="7"/>
      <c r="H140" s="7"/>
      <c r="I140" s="7"/>
      <c r="J140" s="7"/>
      <c r="K140" s="1"/>
      <c r="L140" s="1"/>
    </row>
    <row r="141" spans="1:12">
      <c r="A141" s="1">
        <v>43</v>
      </c>
      <c r="B141" s="1" t="s">
        <v>37</v>
      </c>
      <c r="C141" s="1" t="s">
        <v>12</v>
      </c>
      <c r="D141" s="7">
        <v>6992.15</v>
      </c>
      <c r="E141" s="7">
        <v>34.450000000000003</v>
      </c>
      <c r="F141" s="7">
        <v>-0.18</v>
      </c>
      <c r="G141" s="7"/>
      <c r="H141" s="7"/>
      <c r="I141" s="7"/>
      <c r="J141" s="7">
        <f>SUM(D141:H141)</f>
        <v>7026.4199999999992</v>
      </c>
      <c r="K141" s="1"/>
      <c r="L141" s="1"/>
    </row>
    <row r="142" spans="1:12">
      <c r="A142" s="1"/>
      <c r="B142" s="1"/>
      <c r="C142" s="1" t="s">
        <v>35</v>
      </c>
      <c r="D142" s="7">
        <v>291.17</v>
      </c>
      <c r="E142" s="7">
        <v>1.85</v>
      </c>
      <c r="F142" s="7">
        <v>0.26</v>
      </c>
      <c r="G142" s="7"/>
      <c r="H142" s="7"/>
      <c r="I142" s="7"/>
      <c r="J142" s="7">
        <f>SUM(D142:H142)</f>
        <v>293.28000000000003</v>
      </c>
      <c r="K142" s="1"/>
      <c r="L142" s="1"/>
    </row>
    <row r="143" spans="1:12">
      <c r="A143" s="1"/>
      <c r="B143" s="1"/>
      <c r="C143" s="1" t="s">
        <v>13</v>
      </c>
      <c r="D143" s="7">
        <v>498.61</v>
      </c>
      <c r="E143" s="7">
        <v>2.34</v>
      </c>
      <c r="F143" s="7">
        <v>-0.08</v>
      </c>
      <c r="G143" s="7"/>
      <c r="H143" s="7"/>
      <c r="I143" s="7"/>
      <c r="J143" s="7">
        <f>SUM(D143:H143)</f>
        <v>500.87</v>
      </c>
      <c r="K143" s="1"/>
      <c r="L143" s="1"/>
    </row>
    <row r="144" spans="1:12">
      <c r="A144" s="1"/>
      <c r="B144" s="1"/>
      <c r="C144" s="1"/>
      <c r="D144" s="7"/>
      <c r="E144" s="7"/>
      <c r="F144" s="7"/>
      <c r="G144" s="7"/>
      <c r="H144" s="7"/>
      <c r="I144" s="7"/>
      <c r="J144" s="7"/>
      <c r="K144" s="1"/>
      <c r="L144" s="1"/>
    </row>
    <row r="145" spans="1:12">
      <c r="A145" s="1"/>
      <c r="B145" s="1"/>
      <c r="C145" s="1" t="s">
        <v>10</v>
      </c>
      <c r="D145" s="7">
        <f t="shared" ref="D145:I145" si="21">SUM(D141:D143)</f>
        <v>7781.9299999999994</v>
      </c>
      <c r="E145" s="7">
        <f t="shared" si="21"/>
        <v>38.64</v>
      </c>
      <c r="F145" s="7">
        <f t="shared" si="21"/>
        <v>0</v>
      </c>
      <c r="G145" s="7">
        <f t="shared" si="21"/>
        <v>0</v>
      </c>
      <c r="H145" s="7">
        <f t="shared" si="21"/>
        <v>0</v>
      </c>
      <c r="I145" s="7">
        <f t="shared" si="21"/>
        <v>0</v>
      </c>
      <c r="J145" s="7">
        <f>SUM(D145:H145)</f>
        <v>7820.57</v>
      </c>
      <c r="K145" s="1"/>
      <c r="L145" s="1"/>
    </row>
    <row r="146" spans="1:12">
      <c r="A146" s="1"/>
      <c r="B146" s="1"/>
      <c r="C146" s="1"/>
      <c r="D146" s="7"/>
      <c r="E146" s="7"/>
      <c r="F146" s="7"/>
      <c r="G146" s="7"/>
      <c r="H146" s="7"/>
      <c r="I146" s="7"/>
      <c r="J146" s="7"/>
      <c r="K146" s="1"/>
      <c r="L146" s="1"/>
    </row>
    <row r="147" spans="1:12">
      <c r="A147" s="1"/>
      <c r="B147" s="1"/>
      <c r="C147" s="1"/>
      <c r="D147" s="7"/>
      <c r="E147" s="7"/>
      <c r="F147" s="7"/>
      <c r="G147" s="7"/>
      <c r="H147" s="7"/>
      <c r="I147" s="7"/>
      <c r="J147" s="7"/>
      <c r="K147" s="1"/>
      <c r="L147" s="1"/>
    </row>
    <row r="148" spans="1:12">
      <c r="A148" s="1">
        <v>44</v>
      </c>
      <c r="B148" s="1" t="s">
        <v>38</v>
      </c>
      <c r="C148" s="1" t="s">
        <v>12</v>
      </c>
      <c r="D148" s="7">
        <v>9469.8799999999992</v>
      </c>
      <c r="E148" s="7">
        <v>342.22</v>
      </c>
      <c r="F148" s="7">
        <v>238.61</v>
      </c>
      <c r="G148" s="7">
        <v>151.28</v>
      </c>
      <c r="H148" s="7">
        <v>83.83</v>
      </c>
      <c r="I148" s="7">
        <v>1.98</v>
      </c>
      <c r="J148" s="7">
        <f>SUM(D148:H148)</f>
        <v>10285.82</v>
      </c>
      <c r="K148" s="1"/>
      <c r="L148" s="1"/>
    </row>
    <row r="149" spans="1:12">
      <c r="A149" s="1"/>
      <c r="B149" s="1"/>
      <c r="C149" s="1"/>
      <c r="D149" s="7"/>
      <c r="E149" s="7"/>
      <c r="F149" s="7"/>
      <c r="G149" s="7"/>
      <c r="H149" s="7"/>
      <c r="I149" s="7"/>
      <c r="J149" s="7">
        <f>SUM(D149:H149)</f>
        <v>0</v>
      </c>
      <c r="K149" s="1"/>
      <c r="L149" s="1"/>
    </row>
    <row r="150" spans="1:12">
      <c r="A150" s="1"/>
      <c r="B150" s="1"/>
      <c r="C150" s="1" t="s">
        <v>10</v>
      </c>
      <c r="D150" s="7">
        <f t="shared" ref="D150:I150" si="22">SUM(D148:D149)</f>
        <v>9469.8799999999992</v>
      </c>
      <c r="E150" s="7">
        <f t="shared" si="22"/>
        <v>342.22</v>
      </c>
      <c r="F150" s="7">
        <f t="shared" si="22"/>
        <v>238.61</v>
      </c>
      <c r="G150" s="7">
        <f t="shared" si="22"/>
        <v>151.28</v>
      </c>
      <c r="H150" s="7">
        <f t="shared" si="22"/>
        <v>83.83</v>
      </c>
      <c r="I150" s="7">
        <f t="shared" si="22"/>
        <v>1.98</v>
      </c>
      <c r="J150" s="7">
        <f>SUM(D150:H150)</f>
        <v>10285.82</v>
      </c>
      <c r="K150" s="1"/>
      <c r="L150" s="1"/>
    </row>
    <row r="151" spans="1:12">
      <c r="A151" s="1"/>
      <c r="B151" s="1"/>
      <c r="C151" s="1"/>
      <c r="D151" s="7" t="s">
        <v>70</v>
      </c>
      <c r="E151" s="7" t="s">
        <v>70</v>
      </c>
      <c r="F151" s="7" t="s">
        <v>70</v>
      </c>
      <c r="G151" s="7" t="s">
        <v>70</v>
      </c>
      <c r="H151" s="7" t="s">
        <v>70</v>
      </c>
      <c r="I151" s="7" t="s">
        <v>70</v>
      </c>
      <c r="J151" s="7"/>
      <c r="K151" s="1"/>
      <c r="L151" s="1"/>
    </row>
    <row r="152" spans="1:12">
      <c r="A152" s="1"/>
      <c r="B152" s="1"/>
      <c r="C152" s="1"/>
      <c r="D152" s="7"/>
      <c r="E152" s="7"/>
      <c r="F152" s="7"/>
      <c r="G152" s="7"/>
      <c r="H152" s="7"/>
      <c r="I152" s="7"/>
      <c r="J152" s="7"/>
      <c r="K152" s="1"/>
      <c r="L152" s="1"/>
    </row>
    <row r="153" spans="1:12">
      <c r="A153" s="1">
        <v>45</v>
      </c>
      <c r="B153" s="1" t="s">
        <v>39</v>
      </c>
      <c r="C153" s="1" t="s">
        <v>12</v>
      </c>
      <c r="D153" s="7">
        <v>6030.49</v>
      </c>
      <c r="E153" s="7">
        <v>41.99</v>
      </c>
      <c r="F153" s="7">
        <v>0</v>
      </c>
      <c r="G153" s="7"/>
      <c r="H153" s="7"/>
      <c r="I153" s="7"/>
      <c r="J153" s="7">
        <f>SUM(D153:H153)</f>
        <v>6072.48</v>
      </c>
      <c r="K153" s="1"/>
      <c r="L153" s="1"/>
    </row>
    <row r="154" spans="1:12">
      <c r="A154" s="1"/>
      <c r="B154" s="1"/>
      <c r="C154" s="1"/>
      <c r="D154" s="7"/>
      <c r="E154" s="7"/>
      <c r="F154" s="7"/>
      <c r="G154" s="7"/>
      <c r="H154" s="7"/>
      <c r="I154" s="7"/>
      <c r="J154" s="7">
        <f>SUM(D154:H154)</f>
        <v>0</v>
      </c>
      <c r="K154" s="1"/>
      <c r="L154" s="1"/>
    </row>
    <row r="155" spans="1:12">
      <c r="A155" s="1"/>
      <c r="B155" s="1"/>
      <c r="C155" s="1" t="s">
        <v>10</v>
      </c>
      <c r="D155" s="7">
        <f t="shared" ref="D155:I155" si="23">SUM(D153:D154)</f>
        <v>6030.49</v>
      </c>
      <c r="E155" s="7">
        <f t="shared" si="23"/>
        <v>41.99</v>
      </c>
      <c r="F155" s="7">
        <f t="shared" si="23"/>
        <v>0</v>
      </c>
      <c r="G155" s="7">
        <f t="shared" si="23"/>
        <v>0</v>
      </c>
      <c r="H155" s="7">
        <f t="shared" si="23"/>
        <v>0</v>
      </c>
      <c r="I155" s="7">
        <f t="shared" si="23"/>
        <v>0</v>
      </c>
      <c r="J155" s="7">
        <f>SUM(D155:H155)</f>
        <v>6072.48</v>
      </c>
      <c r="K155" s="1"/>
      <c r="L155" s="1"/>
    </row>
    <row r="156" spans="1:12">
      <c r="A156" s="1"/>
      <c r="B156" s="1"/>
      <c r="C156" s="1"/>
      <c r="D156" s="7"/>
      <c r="E156" s="7"/>
      <c r="F156" s="7"/>
      <c r="G156" s="7"/>
      <c r="H156" s="7"/>
      <c r="I156" s="7"/>
      <c r="J156" s="7"/>
      <c r="K156" s="1"/>
      <c r="L156" s="1"/>
    </row>
    <row r="157" spans="1:12">
      <c r="A157" s="1"/>
      <c r="B157" s="1"/>
      <c r="C157" s="1"/>
      <c r="D157" s="7"/>
      <c r="E157" s="7"/>
      <c r="F157" s="7"/>
      <c r="G157" s="7"/>
      <c r="H157" s="7"/>
      <c r="I157" s="7"/>
      <c r="J157" s="7"/>
      <c r="K157" s="1"/>
      <c r="L157" s="1"/>
    </row>
    <row r="158" spans="1:12">
      <c r="A158" s="1">
        <v>46</v>
      </c>
      <c r="B158" s="1" t="s">
        <v>40</v>
      </c>
      <c r="C158" s="1" t="s">
        <v>12</v>
      </c>
      <c r="D158" s="7">
        <v>5415.99</v>
      </c>
      <c r="E158" s="7">
        <v>248.8</v>
      </c>
      <c r="F158" s="7">
        <v>130.81</v>
      </c>
      <c r="G158" s="7"/>
      <c r="H158" s="7"/>
      <c r="I158" s="7"/>
      <c r="J158" s="7">
        <f>SUM(D158:H158)</f>
        <v>5795.6</v>
      </c>
      <c r="K158" s="1"/>
      <c r="L158" s="1"/>
    </row>
    <row r="159" spans="1:12">
      <c r="A159" s="1"/>
      <c r="B159" s="1"/>
      <c r="C159" s="1"/>
      <c r="D159" s="7"/>
      <c r="E159" s="7"/>
      <c r="F159" s="7"/>
      <c r="G159" s="7"/>
      <c r="H159" s="7"/>
      <c r="I159" s="7"/>
      <c r="J159" s="7">
        <f>SUM(D159:H159)</f>
        <v>0</v>
      </c>
      <c r="K159" s="1"/>
      <c r="L159" s="1"/>
    </row>
    <row r="160" spans="1:12">
      <c r="A160" s="1"/>
      <c r="B160" s="1"/>
      <c r="C160" s="1" t="s">
        <v>10</v>
      </c>
      <c r="D160" s="7">
        <f t="shared" ref="D160:I160" si="24">SUM(D158:D159)</f>
        <v>5415.99</v>
      </c>
      <c r="E160" s="7">
        <f t="shared" si="24"/>
        <v>248.8</v>
      </c>
      <c r="F160" s="7">
        <f t="shared" si="24"/>
        <v>130.81</v>
      </c>
      <c r="G160" s="7">
        <f t="shared" si="24"/>
        <v>0</v>
      </c>
      <c r="H160" s="7">
        <f t="shared" si="24"/>
        <v>0</v>
      </c>
      <c r="I160" s="7">
        <f t="shared" si="24"/>
        <v>0</v>
      </c>
      <c r="J160" s="7">
        <f>SUM(D160:H160)</f>
        <v>5795.6</v>
      </c>
      <c r="K160" s="1"/>
      <c r="L160" s="1"/>
    </row>
    <row r="161" spans="1:12">
      <c r="A161" s="1"/>
      <c r="B161" s="1"/>
      <c r="C161" s="1"/>
      <c r="D161" s="7"/>
      <c r="E161" s="7"/>
      <c r="F161" s="7"/>
      <c r="G161" s="7"/>
      <c r="H161" s="7"/>
      <c r="I161" s="7"/>
      <c r="J161" s="7"/>
      <c r="K161" s="1"/>
      <c r="L161" s="1"/>
    </row>
    <row r="162" spans="1:12">
      <c r="A162" s="1"/>
      <c r="B162" s="1"/>
      <c r="C162" s="1"/>
      <c r="D162" s="7"/>
      <c r="E162" s="7"/>
      <c r="F162" s="7"/>
      <c r="G162" s="7"/>
      <c r="H162" s="7"/>
      <c r="I162" s="7"/>
      <c r="J162" s="7"/>
      <c r="K162" s="1"/>
      <c r="L162" s="1"/>
    </row>
    <row r="163" spans="1:12">
      <c r="A163" s="1">
        <v>47</v>
      </c>
      <c r="B163" s="1" t="s">
        <v>41</v>
      </c>
      <c r="C163" s="1" t="s">
        <v>12</v>
      </c>
      <c r="D163" s="7">
        <v>9209.43</v>
      </c>
      <c r="E163" s="7">
        <v>664.78</v>
      </c>
      <c r="F163" s="7">
        <v>169.24</v>
      </c>
      <c r="G163" s="7"/>
      <c r="H163" s="7"/>
      <c r="I163" s="7"/>
      <c r="J163" s="7">
        <f>SUM(D163:H163)</f>
        <v>10043.450000000001</v>
      </c>
      <c r="K163" s="1"/>
      <c r="L163" s="1"/>
    </row>
    <row r="164" spans="1:12">
      <c r="A164" s="1"/>
      <c r="B164" s="1"/>
      <c r="C164" s="1"/>
      <c r="D164" s="7"/>
      <c r="E164" s="7"/>
      <c r="F164" s="7"/>
      <c r="G164" s="7"/>
      <c r="H164" s="7"/>
      <c r="I164" s="7"/>
      <c r="J164" s="7"/>
      <c r="K164" s="1"/>
      <c r="L164" s="1"/>
    </row>
    <row r="165" spans="1:12">
      <c r="A165" s="1"/>
      <c r="B165" s="1"/>
      <c r="C165" s="1"/>
      <c r="D165" s="7"/>
      <c r="E165" s="7"/>
      <c r="F165" s="7"/>
      <c r="G165" s="7"/>
      <c r="H165" s="7"/>
      <c r="I165" s="7"/>
      <c r="J165" s="7"/>
      <c r="K165" s="1"/>
      <c r="L165" s="1"/>
    </row>
    <row r="166" spans="1:12">
      <c r="A166" s="1"/>
      <c r="B166" s="1"/>
      <c r="C166" s="1" t="s">
        <v>10</v>
      </c>
      <c r="D166" s="7">
        <f t="shared" ref="D166:I166" si="25">SUM(D163:D164)</f>
        <v>9209.43</v>
      </c>
      <c r="E166" s="7">
        <f t="shared" si="25"/>
        <v>664.78</v>
      </c>
      <c r="F166" s="7">
        <f t="shared" si="25"/>
        <v>169.24</v>
      </c>
      <c r="G166" s="7">
        <f t="shared" si="25"/>
        <v>0</v>
      </c>
      <c r="H166" s="7">
        <f t="shared" si="25"/>
        <v>0</v>
      </c>
      <c r="I166" s="7">
        <f t="shared" si="25"/>
        <v>0</v>
      </c>
      <c r="J166" s="7">
        <f>SUM(D166:H166)</f>
        <v>10043.450000000001</v>
      </c>
      <c r="K166" s="1"/>
      <c r="L166" s="1"/>
    </row>
    <row r="167" spans="1:12">
      <c r="A167" s="1"/>
      <c r="B167" s="1"/>
      <c r="C167" s="1"/>
      <c r="D167" s="7"/>
      <c r="E167" s="7"/>
      <c r="F167" s="7"/>
      <c r="G167" s="7"/>
      <c r="H167" s="7"/>
      <c r="I167" s="7"/>
      <c r="J167" s="7"/>
      <c r="K167" s="1"/>
      <c r="L167" s="1"/>
    </row>
    <row r="168" spans="1:12">
      <c r="A168" s="1"/>
      <c r="B168" s="1"/>
      <c r="C168" s="1"/>
      <c r="D168" s="7"/>
      <c r="E168" s="7"/>
      <c r="F168" s="7"/>
      <c r="G168" s="7"/>
      <c r="H168" s="7"/>
      <c r="I168" s="7"/>
      <c r="J168" s="7"/>
      <c r="K168" s="1"/>
      <c r="L168" s="1"/>
    </row>
    <row r="169" spans="1:12">
      <c r="A169" s="1">
        <v>48</v>
      </c>
      <c r="B169" s="1" t="s">
        <v>42</v>
      </c>
      <c r="C169" s="1" t="s">
        <v>12</v>
      </c>
      <c r="D169" s="7">
        <v>11765.6</v>
      </c>
      <c r="E169" s="7">
        <v>191.66</v>
      </c>
      <c r="F169" s="7">
        <v>188.55</v>
      </c>
      <c r="G169" s="7">
        <v>187.85</v>
      </c>
      <c r="H169" s="7">
        <v>57.74</v>
      </c>
      <c r="I169" s="7"/>
      <c r="J169" s="7">
        <f>SUM(D169:H169)</f>
        <v>12391.4</v>
      </c>
      <c r="K169" s="1"/>
      <c r="L169" s="1"/>
    </row>
    <row r="170" spans="1:12">
      <c r="A170" s="1"/>
      <c r="B170" s="1"/>
      <c r="C170" s="1"/>
      <c r="D170" s="7"/>
      <c r="E170" s="7"/>
      <c r="F170" s="7"/>
      <c r="G170" s="7"/>
      <c r="H170" s="7"/>
      <c r="I170" s="7"/>
      <c r="J170" s="7"/>
      <c r="K170" s="1"/>
      <c r="L170" s="1"/>
    </row>
    <row r="171" spans="1:12">
      <c r="A171" s="1"/>
      <c r="B171" s="1"/>
      <c r="C171" s="1" t="s">
        <v>10</v>
      </c>
      <c r="D171" s="7">
        <f t="shared" ref="D171:I171" si="26">SUM(D169:D170)</f>
        <v>11765.6</v>
      </c>
      <c r="E171" s="7">
        <f t="shared" si="26"/>
        <v>191.66</v>
      </c>
      <c r="F171" s="7">
        <f t="shared" si="26"/>
        <v>188.55</v>
      </c>
      <c r="G171" s="7">
        <f t="shared" si="26"/>
        <v>187.85</v>
      </c>
      <c r="H171" s="7">
        <f t="shared" si="26"/>
        <v>57.74</v>
      </c>
      <c r="I171" s="7">
        <f t="shared" si="26"/>
        <v>0</v>
      </c>
      <c r="J171" s="7">
        <f>SUM(D171:H171)</f>
        <v>12391.4</v>
      </c>
      <c r="K171" s="1"/>
      <c r="L171" s="1"/>
    </row>
    <row r="172" spans="1:12">
      <c r="A172" s="1"/>
      <c r="B172" s="1"/>
      <c r="C172" s="1"/>
      <c r="D172" s="7"/>
      <c r="E172" s="7"/>
      <c r="F172" s="7"/>
      <c r="G172" s="7"/>
      <c r="H172" s="7"/>
      <c r="I172" s="7"/>
      <c r="J172" s="7"/>
      <c r="K172" s="1"/>
      <c r="L172" s="1"/>
    </row>
    <row r="173" spans="1:12">
      <c r="A173" s="1"/>
      <c r="B173" s="1"/>
      <c r="C173" s="1"/>
      <c r="D173" s="7"/>
      <c r="E173" s="7"/>
      <c r="F173" s="7"/>
      <c r="G173" s="7"/>
      <c r="H173" s="7"/>
      <c r="I173" s="7"/>
      <c r="J173" s="7"/>
      <c r="K173" s="1"/>
      <c r="L173" s="1"/>
    </row>
    <row r="174" spans="1:12">
      <c r="A174" s="1">
        <v>49</v>
      </c>
      <c r="B174" s="1" t="s">
        <v>43</v>
      </c>
      <c r="C174" s="1" t="s">
        <v>12</v>
      </c>
      <c r="D174" s="7">
        <v>13137.47</v>
      </c>
      <c r="E174" s="7">
        <v>390.05</v>
      </c>
      <c r="F174" s="7">
        <v>239.24</v>
      </c>
      <c r="G174" s="7">
        <v>226.98</v>
      </c>
      <c r="H174" s="7"/>
      <c r="I174" s="7"/>
      <c r="J174" s="7">
        <f>SUM(D174:H174)</f>
        <v>13993.739999999998</v>
      </c>
      <c r="K174" s="1"/>
      <c r="L174" s="1"/>
    </row>
    <row r="175" spans="1:12">
      <c r="A175" s="1"/>
      <c r="B175" s="1"/>
      <c r="C175" s="1"/>
      <c r="D175" s="7"/>
      <c r="E175" s="7"/>
      <c r="F175" s="7"/>
      <c r="G175" s="7"/>
      <c r="H175" s="7"/>
      <c r="I175" s="7"/>
      <c r="J175" s="7">
        <f>SUM(D175:H175)</f>
        <v>0</v>
      </c>
      <c r="K175" s="1"/>
      <c r="L175" s="1"/>
    </row>
    <row r="176" spans="1:12">
      <c r="A176" s="1"/>
      <c r="B176" s="1"/>
      <c r="C176" s="1" t="s">
        <v>10</v>
      </c>
      <c r="D176" s="7">
        <f t="shared" ref="D176:I176" si="27">SUM(D174:D175)</f>
        <v>13137.47</v>
      </c>
      <c r="E176" s="7">
        <f t="shared" si="27"/>
        <v>390.05</v>
      </c>
      <c r="F176" s="7">
        <f t="shared" si="27"/>
        <v>239.24</v>
      </c>
      <c r="G176" s="7">
        <f t="shared" si="27"/>
        <v>226.98</v>
      </c>
      <c r="H176" s="7">
        <f t="shared" si="27"/>
        <v>0</v>
      </c>
      <c r="I176" s="7">
        <f t="shared" si="27"/>
        <v>0</v>
      </c>
      <c r="J176" s="7">
        <f>SUM(D176:H176)</f>
        <v>13993.739999999998</v>
      </c>
      <c r="K176" s="1"/>
      <c r="L176" s="1"/>
    </row>
    <row r="177" spans="1:12">
      <c r="A177" s="1"/>
      <c r="B177" s="1"/>
      <c r="C177" s="1"/>
      <c r="D177" s="7"/>
      <c r="E177" s="7"/>
      <c r="F177" s="7"/>
      <c r="G177" s="7"/>
      <c r="H177" s="7"/>
      <c r="I177" s="7"/>
      <c r="J177" s="7"/>
      <c r="K177" s="1"/>
      <c r="L177" s="1"/>
    </row>
    <row r="178" spans="1:12">
      <c r="A178" s="1"/>
      <c r="B178" s="1"/>
      <c r="C178" s="1"/>
      <c r="D178" s="7"/>
      <c r="E178" s="7"/>
      <c r="F178" s="7"/>
      <c r="G178" s="7"/>
      <c r="H178" s="7"/>
      <c r="I178" s="7"/>
      <c r="J178" s="7"/>
      <c r="K178" s="1"/>
      <c r="L178" s="1"/>
    </row>
    <row r="179" spans="1:12">
      <c r="A179" s="1">
        <v>50</v>
      </c>
      <c r="B179" s="1" t="s">
        <v>44</v>
      </c>
      <c r="C179" s="1" t="s">
        <v>12</v>
      </c>
      <c r="D179" s="7">
        <v>3606.6</v>
      </c>
      <c r="E179" s="7">
        <v>176.14</v>
      </c>
      <c r="F179" s="7">
        <v>1.1100000000000001</v>
      </c>
      <c r="G179" s="7"/>
      <c r="H179" s="7"/>
      <c r="I179" s="7"/>
      <c r="J179" s="7">
        <f>SUM(D179:H179)</f>
        <v>3783.85</v>
      </c>
      <c r="K179" s="1"/>
      <c r="L179" s="1"/>
    </row>
    <row r="180" spans="1:12">
      <c r="A180" s="1"/>
      <c r="B180" s="1"/>
      <c r="C180" s="1" t="s">
        <v>13</v>
      </c>
      <c r="D180" s="7">
        <v>88.93</v>
      </c>
      <c r="E180" s="7">
        <v>4.4400000000000004</v>
      </c>
      <c r="F180" s="7">
        <v>0.1</v>
      </c>
      <c r="G180" s="7"/>
      <c r="H180" s="7"/>
      <c r="I180" s="7"/>
      <c r="J180" s="7">
        <f>SUM(D180:H180)</f>
        <v>93.47</v>
      </c>
      <c r="K180" s="1"/>
      <c r="L180" s="1"/>
    </row>
    <row r="181" spans="1:12">
      <c r="A181" s="1"/>
      <c r="B181" s="1"/>
      <c r="C181" s="1"/>
      <c r="D181" s="7"/>
      <c r="E181" s="7"/>
      <c r="F181" s="7"/>
      <c r="G181" s="7"/>
      <c r="H181" s="7"/>
      <c r="I181" s="7"/>
      <c r="J181" s="7"/>
      <c r="K181" s="1"/>
      <c r="L181" s="1"/>
    </row>
    <row r="182" spans="1:12">
      <c r="A182" s="1"/>
      <c r="B182" s="1"/>
      <c r="C182" s="1" t="s">
        <v>10</v>
      </c>
      <c r="D182" s="7">
        <f t="shared" ref="D182:I182" si="28">SUM(D179:D180)</f>
        <v>3695.5299999999997</v>
      </c>
      <c r="E182" s="7">
        <f t="shared" si="28"/>
        <v>180.57999999999998</v>
      </c>
      <c r="F182" s="7">
        <f t="shared" si="28"/>
        <v>1.2100000000000002</v>
      </c>
      <c r="G182" s="7">
        <f t="shared" si="28"/>
        <v>0</v>
      </c>
      <c r="H182" s="7">
        <f t="shared" si="28"/>
        <v>0</v>
      </c>
      <c r="I182" s="7">
        <f t="shared" si="28"/>
        <v>0</v>
      </c>
      <c r="J182" s="7">
        <f>SUM(D182:H182)</f>
        <v>3877.3199999999997</v>
      </c>
      <c r="K182" s="1"/>
      <c r="L182" s="1"/>
    </row>
    <row r="183" spans="1:12">
      <c r="A183" s="1"/>
      <c r="B183" s="1"/>
      <c r="C183" s="1"/>
      <c r="D183" s="7"/>
      <c r="E183" s="7"/>
      <c r="F183" s="7"/>
      <c r="G183" s="7"/>
      <c r="H183" s="7"/>
      <c r="I183" s="7"/>
      <c r="J183" s="7"/>
      <c r="K183" s="1"/>
      <c r="L183" s="1"/>
    </row>
    <row r="184" spans="1:12">
      <c r="A184" s="1"/>
      <c r="B184" s="1"/>
      <c r="C184" s="1"/>
      <c r="D184" s="7"/>
      <c r="E184" s="7"/>
      <c r="F184" s="7"/>
      <c r="G184" s="7"/>
      <c r="H184" s="7"/>
      <c r="I184" s="7"/>
      <c r="J184" s="7"/>
      <c r="K184" s="1"/>
      <c r="L184" s="1"/>
    </row>
    <row r="185" spans="1:12">
      <c r="A185" s="1">
        <v>51</v>
      </c>
      <c r="B185" s="1" t="s">
        <v>45</v>
      </c>
      <c r="C185" s="1" t="s">
        <v>12</v>
      </c>
      <c r="D185" s="7">
        <v>12443.22</v>
      </c>
      <c r="E185" s="7">
        <v>807.29</v>
      </c>
      <c r="F185" s="7">
        <v>237.2</v>
      </c>
      <c r="G185" s="7">
        <v>236.74</v>
      </c>
      <c r="H185" s="7">
        <v>202.93</v>
      </c>
      <c r="I185" s="7"/>
      <c r="J185" s="7">
        <f>SUM(D185:H185)</f>
        <v>13927.38</v>
      </c>
      <c r="K185" s="1"/>
      <c r="L185" s="1"/>
    </row>
    <row r="186" spans="1:12">
      <c r="A186" s="1"/>
      <c r="B186" s="1"/>
      <c r="C186" s="1" t="s">
        <v>13</v>
      </c>
      <c r="D186" s="7"/>
      <c r="E186" s="7">
        <v>50.55</v>
      </c>
      <c r="F186" s="7">
        <v>10.54</v>
      </c>
      <c r="G186" s="7">
        <v>15.75</v>
      </c>
      <c r="H186" s="7">
        <v>13.62</v>
      </c>
      <c r="I186" s="7"/>
      <c r="J186" s="7">
        <f>SUM(D186:H186)</f>
        <v>90.460000000000008</v>
      </c>
      <c r="K186" s="1"/>
      <c r="L186" s="1"/>
    </row>
    <row r="187" spans="1:12">
      <c r="A187" s="1"/>
      <c r="B187" s="1"/>
      <c r="C187" s="1" t="s">
        <v>46</v>
      </c>
      <c r="D187" s="7">
        <v>262.02999999999997</v>
      </c>
      <c r="E187" s="7">
        <v>16.75</v>
      </c>
      <c r="F187" s="7">
        <v>3.83</v>
      </c>
      <c r="G187" s="7">
        <v>3.8</v>
      </c>
      <c r="H187" s="7">
        <v>3.37</v>
      </c>
      <c r="I187" s="7"/>
      <c r="J187" s="7">
        <f>SUM(D187:H187)</f>
        <v>289.77999999999997</v>
      </c>
      <c r="K187" s="1"/>
      <c r="L187" s="1"/>
    </row>
    <row r="188" spans="1:12">
      <c r="A188" s="1"/>
      <c r="B188" s="1"/>
      <c r="C188" s="1"/>
      <c r="D188" s="7"/>
      <c r="E188" s="7"/>
      <c r="F188" s="7"/>
      <c r="G188" s="7"/>
      <c r="H188" s="7"/>
      <c r="I188" s="7"/>
      <c r="J188" s="7"/>
      <c r="K188" s="1"/>
      <c r="L188" s="1"/>
    </row>
    <row r="189" spans="1:12">
      <c r="A189" s="1"/>
      <c r="B189" s="1"/>
      <c r="C189" s="1" t="s">
        <v>10</v>
      </c>
      <c r="D189" s="7">
        <f t="shared" ref="D189:I189" si="29">SUM(D185:D187)</f>
        <v>12705.25</v>
      </c>
      <c r="E189" s="7">
        <f t="shared" si="29"/>
        <v>874.58999999999992</v>
      </c>
      <c r="F189" s="7">
        <f t="shared" si="29"/>
        <v>251.57</v>
      </c>
      <c r="G189" s="7">
        <f t="shared" si="29"/>
        <v>256.29000000000002</v>
      </c>
      <c r="H189" s="7">
        <f t="shared" si="29"/>
        <v>219.92000000000002</v>
      </c>
      <c r="I189" s="7">
        <f t="shared" si="29"/>
        <v>0</v>
      </c>
      <c r="J189" s="7">
        <f>SUM(D189:H189)</f>
        <v>14307.62</v>
      </c>
      <c r="K189" s="1"/>
      <c r="L189" s="1"/>
    </row>
    <row r="190" spans="1:12">
      <c r="A190" s="1"/>
      <c r="B190" s="1"/>
      <c r="C190" s="1"/>
      <c r="D190" s="7"/>
      <c r="E190" s="7"/>
      <c r="F190" s="7"/>
      <c r="G190" s="7"/>
      <c r="H190" s="7"/>
      <c r="I190" s="7"/>
      <c r="J190" s="7"/>
      <c r="K190" s="1"/>
      <c r="L190" s="1"/>
    </row>
    <row r="191" spans="1:12">
      <c r="A191" s="1"/>
      <c r="B191" s="1"/>
      <c r="C191" s="1"/>
      <c r="D191" s="7"/>
      <c r="E191" s="7"/>
      <c r="F191" s="7"/>
      <c r="G191" s="7"/>
      <c r="H191" s="7"/>
      <c r="I191" s="7"/>
      <c r="J191" s="7"/>
      <c r="K191" s="1"/>
      <c r="L191" s="1"/>
    </row>
    <row r="192" spans="1:12">
      <c r="A192" s="1">
        <v>52</v>
      </c>
      <c r="B192" s="1" t="s">
        <v>47</v>
      </c>
      <c r="C192" s="1" t="s">
        <v>12</v>
      </c>
      <c r="D192" s="7">
        <v>9514.73</v>
      </c>
      <c r="E192" s="7">
        <v>97.76</v>
      </c>
      <c r="F192" s="7"/>
      <c r="G192" s="7"/>
      <c r="H192" s="7"/>
      <c r="I192" s="7"/>
      <c r="J192" s="7">
        <f>SUM(D192:H192)</f>
        <v>9612.49</v>
      </c>
      <c r="K192" s="1"/>
      <c r="L192" s="1"/>
    </row>
    <row r="193" spans="1:12">
      <c r="A193" s="1"/>
      <c r="B193" s="1"/>
      <c r="C193" s="1" t="s">
        <v>13</v>
      </c>
      <c r="D193" s="7"/>
      <c r="E193" s="7">
        <v>6.31</v>
      </c>
      <c r="F193" s="7"/>
      <c r="G193" s="7"/>
      <c r="H193" s="7"/>
      <c r="I193" s="7"/>
      <c r="J193" s="7">
        <f>SUM(D193:H193)</f>
        <v>6.31</v>
      </c>
      <c r="K193" s="1"/>
      <c r="L193" s="1"/>
    </row>
    <row r="194" spans="1:12">
      <c r="A194" s="1"/>
      <c r="B194" s="1"/>
      <c r="C194" s="1"/>
      <c r="D194" s="7"/>
      <c r="E194" s="7"/>
      <c r="F194" s="7"/>
      <c r="G194" s="7"/>
      <c r="H194" s="7"/>
      <c r="I194" s="7"/>
      <c r="J194" s="7"/>
      <c r="K194" s="1"/>
      <c r="L194" s="1"/>
    </row>
    <row r="195" spans="1:12">
      <c r="A195" s="1"/>
      <c r="B195" s="1"/>
      <c r="C195" s="1" t="s">
        <v>10</v>
      </c>
      <c r="D195" s="7">
        <f t="shared" ref="D195:I195" si="30">SUM(D192:D193)</f>
        <v>9514.73</v>
      </c>
      <c r="E195" s="7">
        <f t="shared" si="30"/>
        <v>104.07000000000001</v>
      </c>
      <c r="F195" s="7">
        <f t="shared" si="30"/>
        <v>0</v>
      </c>
      <c r="G195" s="7">
        <f t="shared" si="30"/>
        <v>0</v>
      </c>
      <c r="H195" s="7">
        <f t="shared" si="30"/>
        <v>0</v>
      </c>
      <c r="I195" s="7">
        <f t="shared" si="30"/>
        <v>0</v>
      </c>
      <c r="J195" s="7">
        <f>SUM(D195:H195)</f>
        <v>9618.7999999999993</v>
      </c>
      <c r="K195" s="1"/>
      <c r="L195" s="1"/>
    </row>
    <row r="196" spans="1:12">
      <c r="A196" s="1"/>
      <c r="B196" s="1"/>
      <c r="C196" s="1"/>
      <c r="D196" s="7"/>
      <c r="E196" s="7"/>
      <c r="F196" s="7"/>
      <c r="G196" s="7"/>
      <c r="H196" s="7"/>
      <c r="I196" s="7"/>
      <c r="J196" s="7"/>
      <c r="K196" s="1"/>
      <c r="L196" s="1"/>
    </row>
    <row r="197" spans="1:12">
      <c r="A197" s="1"/>
      <c r="B197" s="1"/>
      <c r="C197" s="1"/>
      <c r="D197" s="7"/>
      <c r="E197" s="7"/>
      <c r="F197" s="7"/>
      <c r="G197" s="7"/>
      <c r="H197" s="7"/>
      <c r="I197" s="7"/>
      <c r="J197" s="7"/>
      <c r="K197" s="1"/>
      <c r="L197" s="1"/>
    </row>
    <row r="198" spans="1:12">
      <c r="A198" s="1">
        <v>53</v>
      </c>
      <c r="B198" s="1" t="s">
        <v>48</v>
      </c>
      <c r="C198" s="1" t="s">
        <v>12</v>
      </c>
      <c r="D198" s="7">
        <v>12809.51</v>
      </c>
      <c r="E198" s="7">
        <v>257.72000000000003</v>
      </c>
      <c r="F198" s="7">
        <v>199.65</v>
      </c>
      <c r="G198" s="7">
        <v>178.43</v>
      </c>
      <c r="H198" s="7">
        <v>76.08</v>
      </c>
      <c r="I198" s="7">
        <v>53.21</v>
      </c>
      <c r="J198" s="7">
        <f>SUM(D198:I198)</f>
        <v>13574.599999999999</v>
      </c>
      <c r="K198" s="1"/>
      <c r="L198" s="1"/>
    </row>
    <row r="199" spans="1:12">
      <c r="A199" s="1"/>
      <c r="B199" s="1"/>
      <c r="C199" s="1" t="s">
        <v>35</v>
      </c>
      <c r="D199" s="7">
        <v>589.73</v>
      </c>
      <c r="E199" s="7">
        <v>11.36</v>
      </c>
      <c r="F199" s="7">
        <v>8.77</v>
      </c>
      <c r="G199" s="7">
        <v>7.37</v>
      </c>
      <c r="H199" s="7">
        <v>3.08</v>
      </c>
      <c r="I199" s="7"/>
      <c r="J199" s="7">
        <f>SUM(D199:I199)</f>
        <v>620.31000000000006</v>
      </c>
      <c r="K199" s="1"/>
      <c r="L199" s="1"/>
    </row>
    <row r="200" spans="1:12">
      <c r="A200" s="1"/>
      <c r="B200" s="1"/>
      <c r="C200" s="1"/>
      <c r="D200" s="7"/>
      <c r="E200" s="7"/>
      <c r="F200" s="7"/>
      <c r="G200" s="7"/>
      <c r="H200" s="7"/>
      <c r="I200" s="7"/>
      <c r="J200" s="7"/>
      <c r="K200" s="1"/>
      <c r="L200" s="1"/>
    </row>
    <row r="201" spans="1:12">
      <c r="A201" s="1"/>
      <c r="B201" s="1"/>
      <c r="C201" s="1" t="s">
        <v>10</v>
      </c>
      <c r="D201" s="7">
        <f t="shared" ref="D201:I201" si="31">SUM(D198:D199)</f>
        <v>13399.24</v>
      </c>
      <c r="E201" s="7">
        <f t="shared" si="31"/>
        <v>269.08000000000004</v>
      </c>
      <c r="F201" s="7">
        <f t="shared" si="31"/>
        <v>208.42000000000002</v>
      </c>
      <c r="G201" s="7">
        <f t="shared" si="31"/>
        <v>185.8</v>
      </c>
      <c r="H201" s="7">
        <f t="shared" si="31"/>
        <v>79.16</v>
      </c>
      <c r="I201" s="7">
        <f t="shared" si="31"/>
        <v>53.21</v>
      </c>
      <c r="J201" s="7">
        <f>SUM(D201:I201)</f>
        <v>14194.909999999998</v>
      </c>
      <c r="K201" s="1"/>
      <c r="L201" s="1"/>
    </row>
    <row r="202" spans="1:12">
      <c r="A202" s="1"/>
      <c r="B202" s="1"/>
      <c r="C202" s="1"/>
      <c r="D202" s="7"/>
      <c r="E202" s="7"/>
      <c r="F202" s="7"/>
      <c r="G202" s="7"/>
      <c r="H202" s="7"/>
      <c r="I202" s="7"/>
      <c r="J202" s="7"/>
      <c r="K202" s="1"/>
      <c r="L202" s="1"/>
    </row>
    <row r="203" spans="1:12">
      <c r="A203" s="1"/>
      <c r="B203" s="1"/>
      <c r="C203" s="1"/>
      <c r="D203" s="7"/>
      <c r="E203" s="7"/>
      <c r="F203" s="7"/>
      <c r="G203" s="7"/>
      <c r="H203" s="7"/>
      <c r="I203" s="7"/>
      <c r="J203" s="7"/>
      <c r="K203" s="1"/>
      <c r="L203" s="1"/>
    </row>
    <row r="204" spans="1:12">
      <c r="A204" s="1">
        <v>54</v>
      </c>
      <c r="B204" s="1" t="s">
        <v>49</v>
      </c>
      <c r="C204" s="1" t="s">
        <v>12</v>
      </c>
      <c r="D204" s="7">
        <v>7786.58</v>
      </c>
      <c r="E204" s="7">
        <v>495.1</v>
      </c>
      <c r="F204" s="7">
        <v>189.67</v>
      </c>
      <c r="G204" s="7">
        <v>190.73</v>
      </c>
      <c r="H204" s="7">
        <v>188.05</v>
      </c>
      <c r="I204" s="7"/>
      <c r="J204" s="7">
        <f>SUM(D204:H204)</f>
        <v>8850.1299999999992</v>
      </c>
      <c r="K204" s="1"/>
      <c r="L204" s="1"/>
    </row>
    <row r="205" spans="1:12">
      <c r="A205" s="1"/>
      <c r="B205" s="1"/>
      <c r="C205" s="1"/>
      <c r="D205" s="7"/>
      <c r="E205" s="7"/>
      <c r="F205" s="7"/>
      <c r="G205" s="7"/>
      <c r="H205" s="7"/>
      <c r="I205" s="7"/>
      <c r="J205" s="7">
        <f>SUM(D205:H205)</f>
        <v>0</v>
      </c>
      <c r="K205" s="1"/>
      <c r="L205" s="1"/>
    </row>
    <row r="206" spans="1:12">
      <c r="A206" s="1"/>
      <c r="B206" s="1"/>
      <c r="C206" s="1" t="s">
        <v>10</v>
      </c>
      <c r="D206" s="7">
        <f t="shared" ref="D206:I206" si="32">SUM(D204:D205)</f>
        <v>7786.58</v>
      </c>
      <c r="E206" s="7">
        <f t="shared" si="32"/>
        <v>495.1</v>
      </c>
      <c r="F206" s="7">
        <f t="shared" si="32"/>
        <v>189.67</v>
      </c>
      <c r="G206" s="7">
        <f t="shared" si="32"/>
        <v>190.73</v>
      </c>
      <c r="H206" s="7">
        <f t="shared" si="32"/>
        <v>188.05</v>
      </c>
      <c r="I206" s="7">
        <f t="shared" si="32"/>
        <v>0</v>
      </c>
      <c r="J206" s="7">
        <f>SUM(D206:H206)</f>
        <v>8850.1299999999992</v>
      </c>
      <c r="K206" s="1"/>
      <c r="L206" s="1"/>
    </row>
    <row r="207" spans="1:12">
      <c r="A207" s="1"/>
      <c r="B207" s="1"/>
      <c r="C207" s="1"/>
      <c r="D207" s="7"/>
      <c r="E207" s="7"/>
      <c r="F207" s="7"/>
      <c r="G207" s="7"/>
      <c r="H207" s="7"/>
      <c r="I207" s="7"/>
      <c r="J207" s="7"/>
      <c r="K207" s="1"/>
      <c r="L207" s="1"/>
    </row>
    <row r="208" spans="1:12">
      <c r="A208" s="1"/>
      <c r="B208" s="1"/>
      <c r="C208" s="1"/>
      <c r="D208" s="7"/>
      <c r="E208" s="7"/>
      <c r="F208" s="7"/>
      <c r="G208" s="7"/>
      <c r="H208" s="7"/>
      <c r="I208" s="7"/>
      <c r="J208" s="7"/>
      <c r="K208" s="1"/>
      <c r="L208" s="1"/>
    </row>
    <row r="209" spans="1:12">
      <c r="A209" s="1">
        <v>55</v>
      </c>
      <c r="B209" s="1" t="s">
        <v>50</v>
      </c>
      <c r="C209" s="1" t="s">
        <v>12</v>
      </c>
      <c r="D209" s="7">
        <v>11053.03</v>
      </c>
      <c r="E209" s="7">
        <v>233.9</v>
      </c>
      <c r="F209" s="7">
        <v>80.63</v>
      </c>
      <c r="G209" s="7"/>
      <c r="H209" s="7"/>
      <c r="I209" s="7"/>
      <c r="J209" s="7">
        <f>SUM(D209:H209)</f>
        <v>11367.56</v>
      </c>
      <c r="K209" s="1"/>
      <c r="L209" s="1"/>
    </row>
    <row r="210" spans="1:12">
      <c r="A210" s="1"/>
      <c r="B210" s="1"/>
      <c r="C210" s="1" t="s">
        <v>13</v>
      </c>
      <c r="D210" s="7">
        <v>472.84</v>
      </c>
      <c r="E210" s="7">
        <v>5.43</v>
      </c>
      <c r="F210" s="7">
        <v>2.02</v>
      </c>
      <c r="G210" s="7"/>
      <c r="H210" s="7"/>
      <c r="I210" s="7"/>
      <c r="J210" s="7">
        <f>SUM(D210:H210)</f>
        <v>480.28999999999996</v>
      </c>
      <c r="K210" s="1"/>
      <c r="L210" s="1"/>
    </row>
    <row r="211" spans="1:12">
      <c r="A211" s="1"/>
      <c r="B211" s="1"/>
      <c r="C211" s="1"/>
      <c r="D211" s="7"/>
      <c r="E211" s="7"/>
      <c r="F211" s="7"/>
      <c r="G211" s="7"/>
      <c r="H211" s="7"/>
      <c r="I211" s="7"/>
      <c r="J211" s="7"/>
      <c r="K211" s="1"/>
      <c r="L211" s="1"/>
    </row>
    <row r="212" spans="1:12">
      <c r="A212" s="1"/>
      <c r="B212" s="1"/>
      <c r="C212" s="1" t="s">
        <v>10</v>
      </c>
      <c r="D212" s="7">
        <f t="shared" ref="D212:I212" si="33">SUM(D209:D210)</f>
        <v>11525.87</v>
      </c>
      <c r="E212" s="7">
        <f t="shared" si="33"/>
        <v>239.33</v>
      </c>
      <c r="F212" s="7">
        <f t="shared" si="33"/>
        <v>82.649999999999991</v>
      </c>
      <c r="G212" s="7">
        <f t="shared" si="33"/>
        <v>0</v>
      </c>
      <c r="H212" s="7">
        <f t="shared" si="33"/>
        <v>0</v>
      </c>
      <c r="I212" s="7">
        <f t="shared" si="33"/>
        <v>0</v>
      </c>
      <c r="J212" s="7">
        <f>SUM(D212:H212)</f>
        <v>11847.85</v>
      </c>
      <c r="K212" s="1"/>
      <c r="L212" s="1"/>
    </row>
    <row r="213" spans="1:12">
      <c r="A213" s="1"/>
      <c r="B213" s="1"/>
      <c r="C213" s="1"/>
      <c r="D213" s="7"/>
      <c r="E213" s="7"/>
      <c r="F213" s="7"/>
      <c r="G213" s="7"/>
      <c r="H213" s="7"/>
      <c r="I213" s="7"/>
      <c r="J213" s="7"/>
      <c r="K213" s="1"/>
      <c r="L213" s="1"/>
    </row>
    <row r="214" spans="1:12">
      <c r="A214" s="1"/>
      <c r="B214" s="1"/>
      <c r="C214" s="1"/>
      <c r="D214" s="7"/>
      <c r="E214" s="7"/>
      <c r="F214" s="7"/>
      <c r="G214" s="7"/>
      <c r="H214" s="7"/>
      <c r="I214" s="7"/>
      <c r="J214" s="7"/>
      <c r="K214" s="1"/>
      <c r="L214" s="1"/>
    </row>
    <row r="215" spans="1:12">
      <c r="A215" s="1">
        <v>56</v>
      </c>
      <c r="B215" s="1" t="s">
        <v>51</v>
      </c>
      <c r="C215" s="1" t="s">
        <v>12</v>
      </c>
      <c r="D215" s="7">
        <v>6717.17</v>
      </c>
      <c r="E215" s="7">
        <v>455.48</v>
      </c>
      <c r="F215" s="7">
        <v>128.13999999999999</v>
      </c>
      <c r="G215" s="7">
        <v>61.93</v>
      </c>
      <c r="H215" s="7">
        <v>52.82</v>
      </c>
      <c r="I215" s="7"/>
      <c r="J215" s="7">
        <f>SUM(D215:H215)</f>
        <v>7415.54</v>
      </c>
      <c r="K215" s="1"/>
      <c r="L215" s="1"/>
    </row>
    <row r="216" spans="1:12">
      <c r="A216" s="1"/>
      <c r="B216" s="1"/>
      <c r="C216" s="1" t="s">
        <v>13</v>
      </c>
      <c r="D216" s="7">
        <v>126.78</v>
      </c>
      <c r="E216" s="7">
        <v>8.59</v>
      </c>
      <c r="F216" s="7">
        <v>2.31</v>
      </c>
      <c r="G216" s="7">
        <v>1.18</v>
      </c>
      <c r="H216" s="7">
        <v>0.91</v>
      </c>
      <c r="I216" s="7"/>
      <c r="J216" s="7">
        <f>SUM(D216:H216)</f>
        <v>139.77000000000001</v>
      </c>
      <c r="K216" s="1"/>
      <c r="L216" s="1"/>
    </row>
    <row r="217" spans="1:12">
      <c r="A217" s="1"/>
      <c r="B217" s="1"/>
      <c r="C217" s="1"/>
      <c r="D217" s="7"/>
      <c r="E217" s="7"/>
      <c r="F217" s="7"/>
      <c r="G217" s="7"/>
      <c r="H217" s="7"/>
      <c r="I217" s="7"/>
      <c r="J217" s="7"/>
      <c r="K217" s="1"/>
      <c r="L217" s="1"/>
    </row>
    <row r="218" spans="1:12">
      <c r="A218" s="1"/>
      <c r="B218" s="1"/>
      <c r="C218" s="1" t="s">
        <v>10</v>
      </c>
      <c r="D218" s="7">
        <f t="shared" ref="D218:I218" si="34">SUM(D215:D216)</f>
        <v>6843.95</v>
      </c>
      <c r="E218" s="7">
        <f t="shared" si="34"/>
        <v>464.07</v>
      </c>
      <c r="F218" s="7">
        <f t="shared" si="34"/>
        <v>130.44999999999999</v>
      </c>
      <c r="G218" s="7">
        <f t="shared" si="34"/>
        <v>63.11</v>
      </c>
      <c r="H218" s="7">
        <f t="shared" si="34"/>
        <v>53.73</v>
      </c>
      <c r="I218" s="7">
        <f t="shared" si="34"/>
        <v>0</v>
      </c>
      <c r="J218" s="7">
        <f>SUM(D218:H218)</f>
        <v>7555.3099999999986</v>
      </c>
      <c r="K218" s="1"/>
      <c r="L218" s="1"/>
    </row>
    <row r="219" spans="1:12">
      <c r="A219" s="1"/>
      <c r="B219" s="1"/>
      <c r="C219" s="1"/>
      <c r="D219" s="7"/>
      <c r="E219" s="7"/>
      <c r="F219" s="7"/>
      <c r="G219" s="7"/>
      <c r="H219" s="7"/>
      <c r="I219" s="7"/>
      <c r="J219" s="7"/>
      <c r="K219" s="1"/>
      <c r="L219" s="1"/>
    </row>
    <row r="220" spans="1:12">
      <c r="A220" s="1"/>
      <c r="B220" s="1"/>
      <c r="C220" s="1"/>
      <c r="D220" s="7"/>
      <c r="E220" s="7"/>
      <c r="F220" s="7"/>
      <c r="G220" s="7"/>
      <c r="H220" s="7"/>
      <c r="I220" s="7"/>
      <c r="J220" s="7"/>
      <c r="K220" s="1"/>
      <c r="L220" s="1"/>
    </row>
    <row r="221" spans="1:12">
      <c r="A221" s="1">
        <v>57</v>
      </c>
      <c r="B221" s="1" t="s">
        <v>52</v>
      </c>
      <c r="C221" s="1" t="s">
        <v>12</v>
      </c>
      <c r="D221" s="7">
        <v>13760.7</v>
      </c>
      <c r="E221" s="7">
        <v>650.28</v>
      </c>
      <c r="F221" s="7">
        <v>12.34</v>
      </c>
      <c r="G221" s="7">
        <v>12.42</v>
      </c>
      <c r="H221" s="7"/>
      <c r="I221" s="7"/>
      <c r="J221" s="7">
        <f>SUM(D221:H221)</f>
        <v>14435.740000000002</v>
      </c>
      <c r="K221" s="1"/>
      <c r="L221" s="1"/>
    </row>
    <row r="222" spans="1:12">
      <c r="A222" s="1"/>
      <c r="B222" s="1"/>
      <c r="C222" s="1" t="s">
        <v>13</v>
      </c>
      <c r="D222" s="7">
        <v>510.29</v>
      </c>
      <c r="E222" s="7">
        <v>12.72</v>
      </c>
      <c r="F222" s="7">
        <v>0.4</v>
      </c>
      <c r="G222" s="7">
        <v>0.4</v>
      </c>
      <c r="H222" s="7"/>
      <c r="I222" s="7"/>
      <c r="J222" s="7">
        <f>SUM(D222:H222)</f>
        <v>523.80999999999995</v>
      </c>
      <c r="K222" s="1"/>
      <c r="L222" s="1"/>
    </row>
    <row r="223" spans="1:12">
      <c r="A223" s="1"/>
      <c r="B223" s="1"/>
      <c r="C223" s="1"/>
      <c r="D223" s="7"/>
      <c r="E223" s="7"/>
      <c r="F223" s="7"/>
      <c r="G223" s="7"/>
      <c r="H223" s="7"/>
      <c r="I223" s="7"/>
      <c r="J223" s="7"/>
      <c r="K223" s="1"/>
      <c r="L223" s="1"/>
    </row>
    <row r="224" spans="1:12">
      <c r="A224" s="1"/>
      <c r="B224" s="1"/>
      <c r="C224" s="1" t="s">
        <v>10</v>
      </c>
      <c r="D224" s="7">
        <f t="shared" ref="D224:I224" si="35">SUM(D221:D222)</f>
        <v>14270.990000000002</v>
      </c>
      <c r="E224" s="7">
        <f t="shared" si="35"/>
        <v>663</v>
      </c>
      <c r="F224" s="7">
        <f t="shared" si="35"/>
        <v>12.74</v>
      </c>
      <c r="G224" s="7">
        <f t="shared" si="35"/>
        <v>12.82</v>
      </c>
      <c r="H224" s="7">
        <f t="shared" si="35"/>
        <v>0</v>
      </c>
      <c r="I224" s="7">
        <f t="shared" si="35"/>
        <v>0</v>
      </c>
      <c r="J224" s="7">
        <f>SUM(D224:H224)</f>
        <v>14959.550000000001</v>
      </c>
      <c r="K224" s="1"/>
      <c r="L224" s="1"/>
    </row>
    <row r="225" spans="1:12">
      <c r="A225" s="1"/>
      <c r="B225" s="1"/>
      <c r="C225" s="1"/>
      <c r="D225" s="7"/>
      <c r="E225" s="7"/>
      <c r="F225" s="7"/>
      <c r="G225" s="7"/>
      <c r="H225" s="7"/>
      <c r="I225" s="7"/>
      <c r="J225" s="7"/>
      <c r="K225" s="1"/>
      <c r="L225" s="1"/>
    </row>
    <row r="226" spans="1:12">
      <c r="A226" s="1"/>
      <c r="B226" s="1"/>
      <c r="C226" s="1"/>
      <c r="D226" s="7"/>
      <c r="E226" s="7"/>
      <c r="F226" s="7"/>
      <c r="G226" s="7"/>
      <c r="H226" s="7"/>
      <c r="I226" s="7"/>
      <c r="J226" s="7"/>
      <c r="K226" s="1"/>
      <c r="L226" s="1"/>
    </row>
    <row r="227" spans="1:12">
      <c r="A227" s="1">
        <v>58</v>
      </c>
      <c r="B227" s="1" t="s">
        <v>53</v>
      </c>
      <c r="C227" s="1" t="s">
        <v>12</v>
      </c>
      <c r="D227" s="7">
        <v>10251.31</v>
      </c>
      <c r="E227" s="7">
        <v>209.71</v>
      </c>
      <c r="F227" s="7">
        <v>91.94</v>
      </c>
      <c r="G227" s="7"/>
      <c r="H227" s="7"/>
      <c r="I227" s="7"/>
      <c r="J227" s="7">
        <f>SUM(D227:H227)</f>
        <v>10552.96</v>
      </c>
      <c r="K227" s="1"/>
      <c r="L227" s="1"/>
    </row>
    <row r="228" spans="1:12">
      <c r="A228" s="1"/>
      <c r="B228" s="1"/>
      <c r="C228" s="1" t="s">
        <v>13</v>
      </c>
      <c r="D228" s="7"/>
      <c r="E228" s="7">
        <v>6.49</v>
      </c>
      <c r="F228" s="7">
        <v>1.89</v>
      </c>
      <c r="G228" s="7"/>
      <c r="H228" s="7"/>
      <c r="I228" s="7"/>
      <c r="J228" s="7">
        <f>SUM(D228:H228)</f>
        <v>8.3800000000000008</v>
      </c>
      <c r="K228" s="1"/>
      <c r="L228" s="1"/>
    </row>
    <row r="229" spans="1:12">
      <c r="A229" s="1"/>
      <c r="B229" s="1"/>
      <c r="C229" s="1"/>
      <c r="D229" s="7"/>
      <c r="E229" s="7"/>
      <c r="F229" s="7"/>
      <c r="G229" s="7"/>
      <c r="H229" s="7"/>
      <c r="I229" s="7"/>
      <c r="J229" s="7"/>
      <c r="K229" s="1"/>
      <c r="L229" s="1"/>
    </row>
    <row r="230" spans="1:12">
      <c r="A230" s="1"/>
      <c r="B230" s="1"/>
      <c r="C230" s="1" t="s">
        <v>10</v>
      </c>
      <c r="D230" s="7">
        <f t="shared" ref="D230:I230" si="36">SUM(D227:D228)</f>
        <v>10251.31</v>
      </c>
      <c r="E230" s="7">
        <f t="shared" si="36"/>
        <v>216.20000000000002</v>
      </c>
      <c r="F230" s="7">
        <f t="shared" si="36"/>
        <v>93.83</v>
      </c>
      <c r="G230" s="7">
        <f t="shared" si="36"/>
        <v>0</v>
      </c>
      <c r="H230" s="7">
        <f t="shared" si="36"/>
        <v>0</v>
      </c>
      <c r="I230" s="7">
        <f t="shared" si="36"/>
        <v>0</v>
      </c>
      <c r="J230" s="7">
        <f>SUM(D230:H230)</f>
        <v>10561.34</v>
      </c>
      <c r="K230" s="1"/>
      <c r="L230" s="1"/>
    </row>
    <row r="231" spans="1:12">
      <c r="A231" s="1"/>
      <c r="B231" s="1"/>
      <c r="C231" s="1"/>
      <c r="D231" s="7"/>
      <c r="E231" s="7"/>
      <c r="F231" s="7"/>
      <c r="G231" s="7"/>
      <c r="H231" s="7"/>
      <c r="I231" s="7"/>
      <c r="J231" s="7"/>
      <c r="K231" s="1"/>
      <c r="L231" s="1"/>
    </row>
    <row r="232" spans="1:12">
      <c r="A232" s="1"/>
      <c r="B232" s="1"/>
      <c r="C232" s="1"/>
      <c r="D232" s="7"/>
      <c r="E232" s="7"/>
      <c r="F232" s="7"/>
      <c r="G232" s="7"/>
      <c r="H232" s="7"/>
      <c r="I232" s="7"/>
      <c r="J232" s="7"/>
      <c r="K232" s="1"/>
      <c r="L232" s="1"/>
    </row>
    <row r="233" spans="1:12">
      <c r="A233" s="1">
        <v>59</v>
      </c>
      <c r="B233" s="1" t="s">
        <v>54</v>
      </c>
      <c r="C233" s="1" t="s">
        <v>12</v>
      </c>
      <c r="D233" s="7">
        <v>10964.73</v>
      </c>
      <c r="E233" s="7">
        <v>303.55</v>
      </c>
      <c r="F233" s="7">
        <v>4.79</v>
      </c>
      <c r="G233" s="7">
        <v>4.1900000000000004</v>
      </c>
      <c r="H233" s="7"/>
      <c r="I233" s="7"/>
      <c r="J233" s="7">
        <f>SUM(D233:H233)</f>
        <v>11277.26</v>
      </c>
      <c r="K233" s="1"/>
      <c r="L233" s="1"/>
    </row>
    <row r="234" spans="1:12">
      <c r="A234" s="1"/>
      <c r="B234" s="1"/>
      <c r="C234" s="1" t="s">
        <v>35</v>
      </c>
      <c r="D234" s="7">
        <v>608.94000000000005</v>
      </c>
      <c r="E234" s="7">
        <v>17.39</v>
      </c>
      <c r="F234" s="7">
        <v>0.4</v>
      </c>
      <c r="G234" s="7">
        <v>0.53</v>
      </c>
      <c r="H234" s="7"/>
      <c r="I234" s="7"/>
      <c r="J234" s="7">
        <f>SUM(D234:H234)</f>
        <v>627.26</v>
      </c>
      <c r="K234" s="1"/>
      <c r="L234" s="1"/>
    </row>
    <row r="235" spans="1:12">
      <c r="A235" s="1"/>
      <c r="B235" s="1"/>
      <c r="C235" s="1"/>
      <c r="D235" s="7"/>
      <c r="E235" s="7"/>
      <c r="F235" s="7"/>
      <c r="G235" s="7"/>
      <c r="H235" s="7"/>
      <c r="I235" s="7"/>
      <c r="J235" s="7"/>
      <c r="K235" s="1"/>
      <c r="L235" s="1"/>
    </row>
    <row r="236" spans="1:12">
      <c r="A236" s="1"/>
      <c r="B236" s="1"/>
      <c r="C236" s="1" t="s">
        <v>10</v>
      </c>
      <c r="D236" s="7">
        <f t="shared" ref="D236:I236" si="37">SUM(D233:D234)</f>
        <v>11573.67</v>
      </c>
      <c r="E236" s="7">
        <f t="shared" si="37"/>
        <v>320.94</v>
      </c>
      <c r="F236" s="7">
        <f t="shared" si="37"/>
        <v>5.19</v>
      </c>
      <c r="G236" s="7">
        <f t="shared" si="37"/>
        <v>4.7200000000000006</v>
      </c>
      <c r="H236" s="7">
        <f t="shared" si="37"/>
        <v>0</v>
      </c>
      <c r="I236" s="7">
        <f t="shared" si="37"/>
        <v>0</v>
      </c>
      <c r="J236" s="7">
        <f>SUM(D236:H236)</f>
        <v>11904.52</v>
      </c>
      <c r="K236" s="1"/>
      <c r="L236" s="1"/>
    </row>
    <row r="237" spans="1:12">
      <c r="A237" s="1"/>
      <c r="B237" s="1"/>
      <c r="C237" s="1"/>
      <c r="D237" s="7"/>
      <c r="E237" s="7"/>
      <c r="F237" s="7"/>
      <c r="G237" s="7"/>
      <c r="H237" s="7"/>
      <c r="I237" s="7"/>
      <c r="J237" s="7"/>
      <c r="K237" s="1"/>
      <c r="L237" s="1"/>
    </row>
    <row r="238" spans="1:12">
      <c r="A238" s="1"/>
      <c r="B238" s="1"/>
      <c r="C238" s="1"/>
      <c r="D238" s="7"/>
      <c r="E238" s="7"/>
      <c r="F238" s="7"/>
      <c r="G238" s="7"/>
      <c r="H238" s="7"/>
      <c r="I238" s="7"/>
      <c r="J238" s="7"/>
      <c r="K238" s="1"/>
      <c r="L238" s="1"/>
    </row>
    <row r="239" spans="1:12">
      <c r="A239" s="1">
        <v>60</v>
      </c>
      <c r="B239" s="1" t="s">
        <v>55</v>
      </c>
      <c r="C239" s="1" t="s">
        <v>12</v>
      </c>
      <c r="D239" s="7">
        <v>38855.629999999997</v>
      </c>
      <c r="E239" s="7">
        <v>706.28</v>
      </c>
      <c r="F239" s="7">
        <v>389.35</v>
      </c>
      <c r="G239" s="7">
        <v>190.75</v>
      </c>
      <c r="H239" s="7">
        <v>139.87</v>
      </c>
      <c r="I239" s="7"/>
      <c r="J239" s="7">
        <f>SUM(D239:H239)</f>
        <v>40281.879999999997</v>
      </c>
      <c r="K239" s="1"/>
      <c r="L239" s="1"/>
    </row>
    <row r="240" spans="1:12">
      <c r="A240" s="1"/>
      <c r="B240" s="1"/>
      <c r="C240" s="1"/>
      <c r="D240" s="7"/>
      <c r="E240" s="7"/>
      <c r="F240" s="7"/>
      <c r="G240" s="7"/>
      <c r="H240" s="7"/>
      <c r="I240" s="7"/>
      <c r="J240" s="7">
        <f>SUM(D240:H240)</f>
        <v>0</v>
      </c>
      <c r="K240" s="1"/>
      <c r="L240" s="1"/>
    </row>
    <row r="241" spans="1:12">
      <c r="A241" s="1"/>
      <c r="B241" s="1"/>
      <c r="C241" s="1" t="s">
        <v>10</v>
      </c>
      <c r="D241" s="7">
        <f t="shared" ref="D241:I241" si="38">SUM(D239:D240)</f>
        <v>38855.629999999997</v>
      </c>
      <c r="E241" s="7">
        <f t="shared" si="38"/>
        <v>706.28</v>
      </c>
      <c r="F241" s="7">
        <f t="shared" si="38"/>
        <v>389.35</v>
      </c>
      <c r="G241" s="7">
        <f t="shared" si="38"/>
        <v>190.75</v>
      </c>
      <c r="H241" s="7">
        <f t="shared" si="38"/>
        <v>139.87</v>
      </c>
      <c r="I241" s="7">
        <f t="shared" si="38"/>
        <v>0</v>
      </c>
      <c r="J241" s="7">
        <f>SUM(D241:H241)</f>
        <v>40281.879999999997</v>
      </c>
      <c r="K241" s="1"/>
      <c r="L241" s="1"/>
    </row>
    <row r="242" spans="1:12">
      <c r="A242" s="1"/>
      <c r="B242" s="1"/>
      <c r="C242" s="1"/>
      <c r="D242" s="7"/>
      <c r="E242" s="7"/>
      <c r="F242" s="7"/>
      <c r="G242" s="7"/>
      <c r="H242" s="7"/>
      <c r="I242" s="7"/>
      <c r="J242" s="7"/>
      <c r="K242" s="1"/>
      <c r="L242" s="1"/>
    </row>
    <row r="243" spans="1:12">
      <c r="A243" s="1"/>
      <c r="B243" s="1"/>
      <c r="C243" s="1"/>
      <c r="D243" s="7"/>
      <c r="E243" s="7"/>
      <c r="F243" s="7"/>
      <c r="G243" s="7"/>
      <c r="H243" s="7"/>
      <c r="I243" s="7"/>
      <c r="J243" s="7"/>
      <c r="K243" s="1"/>
      <c r="L243" s="1"/>
    </row>
    <row r="244" spans="1:12">
      <c r="A244" s="1">
        <v>61</v>
      </c>
      <c r="B244" s="1" t="s">
        <v>56</v>
      </c>
      <c r="C244" s="1" t="s">
        <v>12</v>
      </c>
      <c r="D244" s="7">
        <v>8235.93</v>
      </c>
      <c r="E244" s="7">
        <v>38.950000000000003</v>
      </c>
      <c r="F244" s="7">
        <v>18.84</v>
      </c>
      <c r="G244" s="7">
        <v>17.23</v>
      </c>
      <c r="H244" s="7"/>
      <c r="I244" s="7"/>
      <c r="J244" s="7">
        <f>SUM(D244:H244)</f>
        <v>8310.9500000000007</v>
      </c>
      <c r="K244" s="1"/>
      <c r="L244" s="1"/>
    </row>
    <row r="245" spans="1:12">
      <c r="A245" s="1"/>
      <c r="B245" s="1"/>
      <c r="C245" s="1" t="s">
        <v>13</v>
      </c>
      <c r="D245" s="7">
        <v>128.18</v>
      </c>
      <c r="E245" s="7">
        <v>0.49</v>
      </c>
      <c r="F245" s="7">
        <v>0.3</v>
      </c>
      <c r="G245" s="7">
        <v>0.36</v>
      </c>
      <c r="H245" s="7"/>
      <c r="I245" s="7"/>
      <c r="J245" s="7">
        <f>SUM(D245:H245)</f>
        <v>129.33000000000004</v>
      </c>
      <c r="K245" s="1"/>
      <c r="L245" s="1"/>
    </row>
    <row r="246" spans="1:12">
      <c r="A246" s="1"/>
      <c r="B246" s="1"/>
      <c r="C246" s="1"/>
      <c r="D246" s="7"/>
      <c r="E246" s="7"/>
      <c r="F246" s="7"/>
      <c r="G246" s="7"/>
      <c r="H246" s="7"/>
      <c r="I246" s="7"/>
      <c r="J246" s="7"/>
      <c r="K246" s="1"/>
      <c r="L246" s="1"/>
    </row>
    <row r="247" spans="1:12">
      <c r="A247" s="1"/>
      <c r="B247" s="1"/>
      <c r="C247" s="1" t="s">
        <v>10</v>
      </c>
      <c r="D247" s="7">
        <f t="shared" ref="D247:I247" si="39">SUM(D244:D245)</f>
        <v>8364.11</v>
      </c>
      <c r="E247" s="7">
        <f t="shared" si="39"/>
        <v>39.440000000000005</v>
      </c>
      <c r="F247" s="7">
        <f t="shared" si="39"/>
        <v>19.14</v>
      </c>
      <c r="G247" s="7">
        <f t="shared" si="39"/>
        <v>17.59</v>
      </c>
      <c r="H247" s="7">
        <f t="shared" si="39"/>
        <v>0</v>
      </c>
      <c r="I247" s="7">
        <f t="shared" si="39"/>
        <v>0</v>
      </c>
      <c r="J247" s="7">
        <f>SUM(D247:H247)</f>
        <v>8440.2800000000007</v>
      </c>
      <c r="K247" s="1"/>
      <c r="L247" s="1"/>
    </row>
    <row r="248" spans="1:12">
      <c r="A248" s="1"/>
      <c r="B248" s="1"/>
      <c r="C248" s="1"/>
      <c r="D248" s="7"/>
      <c r="E248" s="7"/>
      <c r="F248" s="7"/>
      <c r="G248" s="7"/>
      <c r="H248" s="7"/>
      <c r="I248" s="7"/>
      <c r="J248" s="7"/>
      <c r="K248" s="1"/>
      <c r="L248" s="1"/>
    </row>
    <row r="249" spans="1:12">
      <c r="A249" s="1"/>
      <c r="B249" s="1"/>
      <c r="C249" s="1"/>
      <c r="D249" s="7"/>
      <c r="E249" s="7"/>
      <c r="F249" s="7"/>
      <c r="G249" s="7"/>
      <c r="H249" s="7"/>
      <c r="I249" s="7"/>
      <c r="J249" s="7"/>
      <c r="K249" s="1"/>
      <c r="L249" s="1"/>
    </row>
    <row r="250" spans="1:12">
      <c r="A250" s="1">
        <v>62</v>
      </c>
      <c r="B250" s="1" t="s">
        <v>57</v>
      </c>
      <c r="C250" s="1" t="s">
        <v>12</v>
      </c>
      <c r="D250" s="7">
        <v>4764.37</v>
      </c>
      <c r="E250" s="7">
        <v>318.06</v>
      </c>
      <c r="F250" s="7">
        <v>130.44999999999999</v>
      </c>
      <c r="G250" s="7">
        <v>80.56</v>
      </c>
      <c r="H250" s="7">
        <v>84.83</v>
      </c>
      <c r="I250" s="7"/>
      <c r="J250" s="7">
        <f>SUM(D250:H250)</f>
        <v>5378.27</v>
      </c>
      <c r="K250" s="1"/>
      <c r="L250" s="1"/>
    </row>
    <row r="251" spans="1:12">
      <c r="A251" s="1"/>
      <c r="B251" s="1"/>
      <c r="C251" s="1" t="s">
        <v>13</v>
      </c>
      <c r="D251" s="7">
        <v>106.38</v>
      </c>
      <c r="E251" s="7">
        <v>7.12</v>
      </c>
      <c r="F251" s="7">
        <v>3.2</v>
      </c>
      <c r="G251" s="7">
        <v>1.78</v>
      </c>
      <c r="H251" s="7">
        <v>1.91</v>
      </c>
      <c r="I251" s="7"/>
      <c r="J251" s="7">
        <f>SUM(D251:H251)</f>
        <v>120.39</v>
      </c>
      <c r="K251" s="1"/>
      <c r="L251" s="1"/>
    </row>
    <row r="252" spans="1:12">
      <c r="A252" s="1"/>
      <c r="B252" s="1"/>
      <c r="C252" s="1"/>
      <c r="D252" s="7"/>
      <c r="E252" s="7"/>
      <c r="F252" s="7"/>
      <c r="G252" s="7"/>
      <c r="H252" s="7"/>
      <c r="I252" s="7"/>
      <c r="J252" s="7"/>
      <c r="K252" s="1"/>
      <c r="L252" s="1"/>
    </row>
    <row r="253" spans="1:12">
      <c r="A253" s="1"/>
      <c r="B253" s="1"/>
      <c r="C253" s="1" t="s">
        <v>10</v>
      </c>
      <c r="D253" s="7">
        <f t="shared" ref="D253:I253" si="40">SUM(D250:D251)</f>
        <v>4870.75</v>
      </c>
      <c r="E253" s="7">
        <f t="shared" si="40"/>
        <v>325.18</v>
      </c>
      <c r="F253" s="7">
        <f t="shared" si="40"/>
        <v>133.64999999999998</v>
      </c>
      <c r="G253" s="7">
        <f t="shared" si="40"/>
        <v>82.34</v>
      </c>
      <c r="H253" s="7">
        <f t="shared" si="40"/>
        <v>86.74</v>
      </c>
      <c r="I253" s="7">
        <f t="shared" si="40"/>
        <v>0</v>
      </c>
      <c r="J253" s="7">
        <f>SUM(D253:H253)</f>
        <v>5498.66</v>
      </c>
      <c r="K253" s="1"/>
      <c r="L253" s="1"/>
    </row>
    <row r="254" spans="1:12">
      <c r="A254" s="1"/>
      <c r="B254" s="1"/>
      <c r="C254" s="1"/>
      <c r="D254" s="7"/>
      <c r="E254" s="7"/>
      <c r="F254" s="7"/>
      <c r="G254" s="7"/>
      <c r="H254" s="7"/>
      <c r="I254" s="7"/>
      <c r="J254" s="7"/>
      <c r="K254" s="1"/>
      <c r="L254" s="1"/>
    </row>
    <row r="255" spans="1:12">
      <c r="A255" s="1"/>
      <c r="B255" s="1"/>
      <c r="C255" s="1"/>
      <c r="D255" s="7"/>
      <c r="E255" s="7"/>
      <c r="F255" s="7"/>
      <c r="G255" s="7"/>
      <c r="H255" s="7"/>
      <c r="I255" s="7"/>
      <c r="J255" s="7"/>
      <c r="K255" s="1"/>
      <c r="L255" s="1"/>
    </row>
    <row r="256" spans="1:12">
      <c r="A256" s="1">
        <v>63</v>
      </c>
      <c r="B256" s="1" t="s">
        <v>58</v>
      </c>
      <c r="C256" s="1" t="s">
        <v>12</v>
      </c>
      <c r="D256" s="7">
        <v>9469.83</v>
      </c>
      <c r="E256" s="7">
        <v>476.01</v>
      </c>
      <c r="F256" s="7">
        <v>307.61</v>
      </c>
      <c r="G256" s="7">
        <v>265.05</v>
      </c>
      <c r="H256" s="7"/>
      <c r="I256" s="7"/>
      <c r="J256" s="7">
        <f>SUM(D256:H256)</f>
        <v>10518.5</v>
      </c>
      <c r="K256" s="1"/>
      <c r="L256" s="1"/>
    </row>
    <row r="257" spans="1:12">
      <c r="A257" s="1"/>
      <c r="B257" s="1"/>
      <c r="C257" s="1" t="s">
        <v>13</v>
      </c>
      <c r="D257" s="7">
        <v>714.61</v>
      </c>
      <c r="E257" s="7">
        <v>32.799999999999997</v>
      </c>
      <c r="F257" s="7">
        <v>21.46</v>
      </c>
      <c r="G257" s="7">
        <v>18.100000000000001</v>
      </c>
      <c r="H257" s="7"/>
      <c r="I257" s="7"/>
      <c r="J257" s="7">
        <f>SUM(D257:H257)</f>
        <v>786.97</v>
      </c>
      <c r="K257" s="1"/>
      <c r="L257" s="1"/>
    </row>
    <row r="258" spans="1:12">
      <c r="A258" s="1"/>
      <c r="B258" s="1"/>
      <c r="C258" s="1"/>
      <c r="D258" s="7"/>
      <c r="E258" s="7"/>
      <c r="F258" s="7"/>
      <c r="G258" s="7"/>
      <c r="H258" s="7"/>
      <c r="I258" s="7"/>
      <c r="J258" s="7"/>
      <c r="K258" s="1"/>
      <c r="L258" s="1"/>
    </row>
    <row r="259" spans="1:12">
      <c r="A259" s="1"/>
      <c r="B259" s="1"/>
      <c r="C259" s="1" t="s">
        <v>10</v>
      </c>
      <c r="D259" s="7">
        <f t="shared" ref="D259:I259" si="41">SUM(D256:D257)</f>
        <v>10184.44</v>
      </c>
      <c r="E259" s="7">
        <f t="shared" si="41"/>
        <v>508.81</v>
      </c>
      <c r="F259" s="7">
        <f t="shared" si="41"/>
        <v>329.07</v>
      </c>
      <c r="G259" s="7">
        <f t="shared" si="41"/>
        <v>283.15000000000003</v>
      </c>
      <c r="H259" s="7">
        <f t="shared" si="41"/>
        <v>0</v>
      </c>
      <c r="I259" s="7">
        <f t="shared" si="41"/>
        <v>0</v>
      </c>
      <c r="J259" s="7">
        <f>SUM(D259:H259)</f>
        <v>11305.47</v>
      </c>
      <c r="K259" s="1"/>
      <c r="L259" s="1"/>
    </row>
    <row r="260" spans="1:12">
      <c r="A260" s="1"/>
      <c r="B260" s="1"/>
      <c r="C260" s="1"/>
      <c r="D260" s="7"/>
      <c r="E260" s="7"/>
      <c r="F260" s="7"/>
      <c r="G260" s="7"/>
      <c r="H260" s="7"/>
      <c r="I260" s="7"/>
      <c r="J260" s="7"/>
      <c r="K260" s="1"/>
      <c r="L260" s="1"/>
    </row>
    <row r="261" spans="1:12">
      <c r="A261" s="1"/>
      <c r="B261" s="1"/>
      <c r="C261" s="1"/>
      <c r="D261" s="7"/>
      <c r="E261" s="7"/>
      <c r="F261" s="7"/>
      <c r="G261" s="7"/>
      <c r="H261" s="7"/>
      <c r="I261" s="7"/>
      <c r="J261" s="7"/>
      <c r="K261" s="1"/>
      <c r="L261" s="1"/>
    </row>
    <row r="262" spans="1:12">
      <c r="A262" s="1">
        <v>64</v>
      </c>
      <c r="B262" s="1" t="s">
        <v>59</v>
      </c>
      <c r="C262" s="1" t="s">
        <v>12</v>
      </c>
      <c r="D262" s="7">
        <v>54319.040000000001</v>
      </c>
      <c r="E262" s="7">
        <v>746.07</v>
      </c>
      <c r="F262" s="7">
        <v>271.13</v>
      </c>
      <c r="G262" s="7">
        <v>277.11</v>
      </c>
      <c r="H262" s="7">
        <v>181.19</v>
      </c>
      <c r="I262" s="7"/>
      <c r="J262" s="7">
        <f>SUM(D262:H262)</f>
        <v>55794.54</v>
      </c>
      <c r="K262" s="1"/>
      <c r="L262" s="1"/>
    </row>
    <row r="263" spans="1:12">
      <c r="A263" s="1"/>
      <c r="B263" s="1"/>
      <c r="C263" s="1"/>
      <c r="D263" s="7"/>
      <c r="E263" s="7"/>
      <c r="F263" s="7"/>
      <c r="G263" s="7"/>
      <c r="H263" s="7"/>
      <c r="I263" s="7"/>
      <c r="J263" s="7">
        <f>SUM(D263:H263)</f>
        <v>0</v>
      </c>
      <c r="K263" s="1"/>
      <c r="L263" s="1"/>
    </row>
    <row r="264" spans="1:12">
      <c r="A264" s="1"/>
      <c r="B264" s="1"/>
      <c r="C264" s="1" t="s">
        <v>10</v>
      </c>
      <c r="D264" s="7">
        <f t="shared" ref="D264:I264" si="42">SUM(D262:D263)</f>
        <v>54319.040000000001</v>
      </c>
      <c r="E264" s="7">
        <f t="shared" si="42"/>
        <v>746.07</v>
      </c>
      <c r="F264" s="7">
        <f t="shared" si="42"/>
        <v>271.13</v>
      </c>
      <c r="G264" s="7">
        <f t="shared" si="42"/>
        <v>277.11</v>
      </c>
      <c r="H264" s="7">
        <f t="shared" si="42"/>
        <v>181.19</v>
      </c>
      <c r="I264" s="7">
        <f t="shared" si="42"/>
        <v>0</v>
      </c>
      <c r="J264" s="7">
        <f>SUM(D264:H264)</f>
        <v>55794.54</v>
      </c>
      <c r="K264" s="1"/>
      <c r="L264" s="1"/>
    </row>
    <row r="265" spans="1:12">
      <c r="A265" s="1"/>
      <c r="B265" s="1"/>
      <c r="C265" s="1"/>
      <c r="D265" s="7"/>
      <c r="E265" s="7"/>
      <c r="F265" s="7"/>
      <c r="G265" s="7"/>
      <c r="H265" s="7"/>
      <c r="I265" s="7"/>
      <c r="J265" s="7"/>
      <c r="K265" s="1"/>
      <c r="L265" s="1"/>
    </row>
    <row r="266" spans="1:12">
      <c r="A266" s="1"/>
      <c r="B266" s="1"/>
      <c r="C266" s="1"/>
      <c r="D266" s="7"/>
      <c r="E266" s="7"/>
      <c r="F266" s="7"/>
      <c r="G266" s="7"/>
      <c r="H266" s="7"/>
      <c r="I266" s="7"/>
      <c r="J266" s="7"/>
      <c r="K266" s="1"/>
      <c r="L266" s="1"/>
    </row>
    <row r="267" spans="1:12">
      <c r="A267" s="1">
        <v>65</v>
      </c>
      <c r="B267" s="4" t="s">
        <v>60</v>
      </c>
      <c r="C267" s="4" t="s">
        <v>12</v>
      </c>
      <c r="D267" s="5">
        <v>5646.09</v>
      </c>
      <c r="E267" s="5">
        <v>103.6</v>
      </c>
      <c r="F267" s="5">
        <v>0</v>
      </c>
      <c r="G267" s="5"/>
      <c r="H267" s="6"/>
      <c r="I267" s="6"/>
      <c r="J267" s="5">
        <f>SUM(D267:H267)</f>
        <v>5749.6900000000005</v>
      </c>
      <c r="K267" s="1"/>
      <c r="L267" s="1"/>
    </row>
    <row r="268" spans="1:12">
      <c r="A268" s="1"/>
      <c r="B268" s="1"/>
      <c r="C268" s="1" t="s">
        <v>13</v>
      </c>
      <c r="D268" s="7"/>
      <c r="E268" s="7"/>
      <c r="F268" s="7"/>
      <c r="G268" s="7"/>
      <c r="H268" s="7"/>
      <c r="I268" s="7"/>
      <c r="J268" s="7">
        <f>SUM(D268:H268)</f>
        <v>0</v>
      </c>
      <c r="K268" s="1"/>
      <c r="L268" s="1"/>
    </row>
    <row r="269" spans="1:12">
      <c r="A269" s="1"/>
      <c r="B269" s="1"/>
      <c r="C269" s="1"/>
      <c r="D269" s="7"/>
      <c r="E269" s="7"/>
      <c r="F269" s="7"/>
      <c r="G269" s="7"/>
      <c r="H269" s="7"/>
      <c r="I269" s="7"/>
      <c r="J269" s="7"/>
      <c r="K269" s="1"/>
      <c r="L269" s="1"/>
    </row>
    <row r="270" spans="1:12">
      <c r="A270" s="1"/>
      <c r="B270" s="1"/>
      <c r="C270" s="1" t="s">
        <v>10</v>
      </c>
      <c r="D270" s="7">
        <f t="shared" ref="D270:I270" si="43">SUM(D267:D268)</f>
        <v>5646.09</v>
      </c>
      <c r="E270" s="7">
        <f t="shared" si="43"/>
        <v>103.6</v>
      </c>
      <c r="F270" s="7">
        <f t="shared" si="43"/>
        <v>0</v>
      </c>
      <c r="G270" s="7">
        <f t="shared" si="43"/>
        <v>0</v>
      </c>
      <c r="H270" s="7">
        <f t="shared" si="43"/>
        <v>0</v>
      </c>
      <c r="I270" s="7">
        <f t="shared" si="43"/>
        <v>0</v>
      </c>
      <c r="J270" s="7">
        <f>SUM(D270:H270)</f>
        <v>5749.6900000000005</v>
      </c>
      <c r="K270" s="1"/>
      <c r="L270" s="1"/>
    </row>
    <row r="271" spans="1:12">
      <c r="A271" s="1"/>
      <c r="B271" s="1"/>
      <c r="C271" s="1"/>
      <c r="D271" s="7"/>
      <c r="E271" s="7"/>
      <c r="F271" s="7"/>
      <c r="G271" s="7"/>
      <c r="H271" s="7"/>
      <c r="I271" s="7"/>
      <c r="J271" s="7"/>
      <c r="K271" s="1"/>
      <c r="L271" s="1"/>
    </row>
    <row r="272" spans="1:12">
      <c r="A272" s="1"/>
      <c r="B272" s="1"/>
      <c r="C272" s="1"/>
      <c r="D272" s="7"/>
      <c r="E272" s="7"/>
      <c r="F272" s="7"/>
      <c r="G272" s="7"/>
      <c r="H272" s="7"/>
      <c r="I272" s="7"/>
      <c r="J272" s="7"/>
      <c r="K272" s="1"/>
      <c r="L272" s="1"/>
    </row>
    <row r="273" spans="1:12">
      <c r="A273" s="1">
        <v>66</v>
      </c>
      <c r="B273" s="1" t="s">
        <v>61</v>
      </c>
      <c r="C273" s="1" t="s">
        <v>12</v>
      </c>
      <c r="D273" s="7">
        <v>8935.4599999999991</v>
      </c>
      <c r="E273" s="7">
        <v>580.11</v>
      </c>
      <c r="F273" s="7">
        <v>457.53</v>
      </c>
      <c r="G273" s="7">
        <v>419.88</v>
      </c>
      <c r="H273" s="7">
        <v>402.4</v>
      </c>
      <c r="I273" s="7"/>
      <c r="J273" s="7">
        <f>SUM(D273:H273)</f>
        <v>10795.38</v>
      </c>
      <c r="K273" s="1"/>
      <c r="L273" s="1"/>
    </row>
    <row r="274" spans="1:12">
      <c r="A274" s="1"/>
      <c r="B274" s="1"/>
      <c r="C274" s="1" t="s">
        <v>13</v>
      </c>
      <c r="D274" s="7"/>
      <c r="E274" s="7">
        <v>9.39</v>
      </c>
      <c r="F274" s="7">
        <v>30.42</v>
      </c>
      <c r="G274" s="7">
        <v>41.51</v>
      </c>
      <c r="H274" s="7">
        <v>39.86</v>
      </c>
      <c r="I274" s="7"/>
      <c r="J274" s="7">
        <f>SUM(D274:H274)</f>
        <v>121.17999999999999</v>
      </c>
      <c r="K274" s="1"/>
      <c r="L274" s="1"/>
    </row>
    <row r="275" spans="1:12">
      <c r="A275" s="1"/>
      <c r="B275" s="1"/>
      <c r="C275" s="1" t="s">
        <v>73</v>
      </c>
      <c r="D275" s="7">
        <v>609.12</v>
      </c>
      <c r="E275" s="7">
        <v>38.380000000000003</v>
      </c>
      <c r="F275" s="7">
        <v>30.43</v>
      </c>
      <c r="G275" s="7">
        <v>27.8</v>
      </c>
      <c r="H275" s="7"/>
      <c r="I275" s="7"/>
      <c r="J275" s="7">
        <f>SUM(D275:H275)</f>
        <v>705.7299999999999</v>
      </c>
      <c r="K275" s="1"/>
      <c r="L275" s="1"/>
    </row>
    <row r="276" spans="1:12">
      <c r="A276" s="1"/>
      <c r="B276" s="1"/>
      <c r="C276" s="1"/>
      <c r="D276" s="1"/>
      <c r="E276" s="1"/>
      <c r="F276" s="1"/>
      <c r="G276" s="1"/>
      <c r="H276" s="1"/>
      <c r="I276" s="1"/>
      <c r="J276" s="7"/>
      <c r="K276" s="1"/>
      <c r="L276" s="1"/>
    </row>
    <row r="277" spans="1:12">
      <c r="A277" s="1"/>
      <c r="B277" s="1"/>
      <c r="C277" s="1" t="s">
        <v>10</v>
      </c>
      <c r="D277" s="1">
        <f t="shared" ref="D277:I277" si="44">SUM(D273:D275)</f>
        <v>9544.58</v>
      </c>
      <c r="E277" s="1">
        <f t="shared" si="44"/>
        <v>627.88</v>
      </c>
      <c r="F277" s="1">
        <f t="shared" si="44"/>
        <v>518.38</v>
      </c>
      <c r="G277" s="1">
        <f t="shared" si="44"/>
        <v>489.19</v>
      </c>
      <c r="H277" s="1">
        <f t="shared" si="44"/>
        <v>442.26</v>
      </c>
      <c r="I277" s="1">
        <f t="shared" si="44"/>
        <v>0</v>
      </c>
      <c r="J277" s="7">
        <f>SUM(D277:H277)</f>
        <v>11622.289999999999</v>
      </c>
      <c r="K277" s="1"/>
      <c r="L277" s="1"/>
    </row>
    <row r="278" spans="1:12">
      <c r="A278" s="1"/>
      <c r="B278" s="1"/>
      <c r="C278" s="1"/>
      <c r="D278" s="7"/>
      <c r="E278" s="7"/>
      <c r="F278" s="7"/>
      <c r="G278" s="7"/>
      <c r="H278" s="7"/>
      <c r="I278" s="7"/>
      <c r="J278" s="7"/>
      <c r="K278" s="1"/>
      <c r="L278" s="1"/>
    </row>
    <row r="279" spans="1:12">
      <c r="A279" s="1"/>
      <c r="B279" s="1"/>
      <c r="C279" s="1"/>
      <c r="D279" s="7"/>
      <c r="E279" s="7"/>
      <c r="F279" s="7"/>
      <c r="G279" s="7"/>
      <c r="H279" s="7"/>
      <c r="I279" s="7"/>
      <c r="J279" s="7"/>
      <c r="K279" s="1"/>
      <c r="L279" s="1"/>
    </row>
    <row r="280" spans="1:12">
      <c r="A280" s="1">
        <v>67</v>
      </c>
      <c r="B280" s="1" t="s">
        <v>62</v>
      </c>
      <c r="C280" s="1" t="s">
        <v>12</v>
      </c>
      <c r="D280" s="7">
        <v>5756.17</v>
      </c>
      <c r="E280" s="7">
        <v>331.9</v>
      </c>
      <c r="F280" s="7">
        <v>201.64</v>
      </c>
      <c r="G280" s="7">
        <v>88.82</v>
      </c>
      <c r="H280" s="7">
        <v>15.4</v>
      </c>
      <c r="I280" s="7"/>
      <c r="J280" s="7">
        <f>SUM(D280:H280)</f>
        <v>6393.9299999999994</v>
      </c>
      <c r="K280" s="1"/>
      <c r="L280" s="1"/>
    </row>
    <row r="281" spans="1:12">
      <c r="A281" s="1"/>
      <c r="B281" s="1"/>
      <c r="C281" s="1" t="s">
        <v>13</v>
      </c>
      <c r="D281" s="7">
        <v>246.24</v>
      </c>
      <c r="E281" s="7">
        <v>8.2200000000000006</v>
      </c>
      <c r="F281" s="7">
        <v>4.74</v>
      </c>
      <c r="G281" s="7">
        <v>2.3199999999999998</v>
      </c>
      <c r="H281" s="7">
        <v>0.19</v>
      </c>
      <c r="I281" s="7"/>
      <c r="J281" s="7">
        <f>SUM(D281:H281)</f>
        <v>261.70999999999998</v>
      </c>
      <c r="K281" s="1"/>
      <c r="L281" s="1"/>
    </row>
    <row r="282" spans="1:12">
      <c r="A282" s="1"/>
      <c r="B282" s="1"/>
      <c r="C282" s="1"/>
      <c r="D282" s="7"/>
      <c r="E282" s="7"/>
      <c r="F282" s="7"/>
      <c r="G282" s="7"/>
      <c r="H282" s="7"/>
      <c r="I282" s="7"/>
      <c r="J282" s="7"/>
      <c r="K282" s="1"/>
      <c r="L282" s="1"/>
    </row>
    <row r="283" spans="1:12">
      <c r="A283" s="1"/>
      <c r="B283" s="1"/>
      <c r="C283" s="1" t="s">
        <v>10</v>
      </c>
      <c r="D283" s="7">
        <f t="shared" ref="D283:I283" si="45">SUM(D280:D281)</f>
        <v>6002.41</v>
      </c>
      <c r="E283" s="7">
        <f t="shared" si="45"/>
        <v>340.12</v>
      </c>
      <c r="F283" s="7">
        <f t="shared" si="45"/>
        <v>206.38</v>
      </c>
      <c r="G283" s="7">
        <f t="shared" si="45"/>
        <v>91.139999999999986</v>
      </c>
      <c r="H283" s="7">
        <f t="shared" si="45"/>
        <v>15.59</v>
      </c>
      <c r="I283" s="7">
        <f t="shared" si="45"/>
        <v>0</v>
      </c>
      <c r="J283" s="7">
        <f>SUM(D283:H283)</f>
        <v>6655.64</v>
      </c>
      <c r="K283" s="1"/>
      <c r="L283" s="1"/>
    </row>
    <row r="284" spans="1:12">
      <c r="A284" s="1"/>
      <c r="B284" s="1"/>
      <c r="C284" s="1"/>
      <c r="D284" s="7"/>
      <c r="E284" s="7"/>
      <c r="F284" s="7"/>
      <c r="G284" s="7"/>
      <c r="H284" s="7"/>
      <c r="I284" s="7"/>
      <c r="J284" s="7"/>
      <c r="K284" s="1"/>
      <c r="L284" s="1"/>
    </row>
    <row r="285" spans="1:12">
      <c r="A285" s="1"/>
      <c r="B285" s="1"/>
      <c r="C285" s="1"/>
      <c r="D285" s="7"/>
      <c r="E285" s="7"/>
      <c r="F285" s="7"/>
      <c r="G285" s="7"/>
      <c r="H285" s="7"/>
      <c r="I285" s="7"/>
      <c r="J285" s="7"/>
      <c r="K285" s="1"/>
      <c r="L285" s="1"/>
    </row>
    <row r="286" spans="1:12">
      <c r="A286" s="1">
        <v>68</v>
      </c>
      <c r="B286" s="1" t="s">
        <v>63</v>
      </c>
      <c r="C286" s="1" t="s">
        <v>12</v>
      </c>
      <c r="D286" s="7">
        <v>6619.01</v>
      </c>
      <c r="E286" s="7">
        <v>94.32</v>
      </c>
      <c r="F286" s="7">
        <v>73.2</v>
      </c>
      <c r="G286" s="7">
        <v>72.680000000000007</v>
      </c>
      <c r="H286" s="7">
        <v>73.010000000000005</v>
      </c>
      <c r="I286" s="7"/>
      <c r="J286" s="7">
        <f>SUM(D286:H286)</f>
        <v>6932.22</v>
      </c>
      <c r="K286" s="1"/>
      <c r="L286" s="1"/>
    </row>
    <row r="287" spans="1:12">
      <c r="A287" s="1"/>
      <c r="B287" s="1"/>
      <c r="C287" s="1" t="s">
        <v>13</v>
      </c>
      <c r="D287" s="7">
        <v>383.79</v>
      </c>
      <c r="E287" s="7">
        <v>7.98</v>
      </c>
      <c r="F287" s="7">
        <v>3.69</v>
      </c>
      <c r="G287" s="7">
        <v>5.69</v>
      </c>
      <c r="H287" s="7">
        <v>5.65</v>
      </c>
      <c r="I287" s="7"/>
      <c r="J287" s="7">
        <f>SUM(D287:H287)</f>
        <v>406.8</v>
      </c>
      <c r="K287" s="1"/>
      <c r="L287" s="1"/>
    </row>
    <row r="288" spans="1:12">
      <c r="A288" s="1"/>
      <c r="B288" s="1"/>
      <c r="C288" s="1"/>
      <c r="D288" s="7"/>
      <c r="E288" s="7"/>
      <c r="F288" s="7"/>
      <c r="G288" s="7"/>
      <c r="H288" s="7"/>
      <c r="I288" s="7"/>
      <c r="J288" s="7"/>
      <c r="K288" s="1"/>
      <c r="L288" s="1"/>
    </row>
    <row r="289" spans="1:12">
      <c r="A289" s="1"/>
      <c r="B289" s="1"/>
      <c r="C289" s="1" t="s">
        <v>10</v>
      </c>
      <c r="D289" s="7">
        <f t="shared" ref="D289:I289" si="46">SUM(D286:D287)</f>
        <v>7002.8</v>
      </c>
      <c r="E289" s="7">
        <f t="shared" si="46"/>
        <v>102.3</v>
      </c>
      <c r="F289" s="7">
        <f t="shared" si="46"/>
        <v>76.89</v>
      </c>
      <c r="G289" s="7">
        <f t="shared" si="46"/>
        <v>78.37</v>
      </c>
      <c r="H289" s="7">
        <f t="shared" si="46"/>
        <v>78.660000000000011</v>
      </c>
      <c r="I289" s="7">
        <f t="shared" si="46"/>
        <v>0</v>
      </c>
      <c r="J289" s="7">
        <f>SUM(D289:H289)</f>
        <v>7339.02</v>
      </c>
      <c r="K289" s="1"/>
      <c r="L289" s="1"/>
    </row>
    <row r="290" spans="1:12">
      <c r="A290" s="1"/>
      <c r="B290" s="1"/>
      <c r="C290" s="1"/>
      <c r="D290" s="7"/>
      <c r="E290" s="7"/>
      <c r="F290" s="7"/>
      <c r="G290" s="7"/>
      <c r="H290" s="7"/>
      <c r="I290" s="7"/>
      <c r="J290" s="7"/>
      <c r="K290" s="1"/>
      <c r="L290" s="1"/>
    </row>
    <row r="291" spans="1:12">
      <c r="A291" s="1"/>
      <c r="B291" s="1"/>
      <c r="C291" s="1"/>
      <c r="D291" s="7"/>
      <c r="E291" s="7"/>
      <c r="F291" s="7"/>
      <c r="G291" s="7"/>
      <c r="H291" s="7"/>
      <c r="I291" s="7"/>
      <c r="J291" s="7"/>
      <c r="K291" s="1"/>
      <c r="L291" s="1"/>
    </row>
    <row r="292" spans="1:12">
      <c r="A292" s="1">
        <v>69</v>
      </c>
      <c r="B292" s="1" t="s">
        <v>64</v>
      </c>
      <c r="C292" s="1" t="s">
        <v>12</v>
      </c>
      <c r="D292" s="7">
        <v>8754.15</v>
      </c>
      <c r="E292" s="7">
        <v>141.04</v>
      </c>
      <c r="F292" s="7">
        <v>141.29</v>
      </c>
      <c r="G292" s="7">
        <v>34.049999999999997</v>
      </c>
      <c r="H292" s="7">
        <v>17.48</v>
      </c>
      <c r="I292" s="7"/>
      <c r="J292" s="7">
        <f>SUM(D292:H292)</f>
        <v>9088.01</v>
      </c>
      <c r="K292" s="1"/>
      <c r="L292" s="1"/>
    </row>
    <row r="293" spans="1:12">
      <c r="A293" s="1"/>
      <c r="B293" s="1"/>
      <c r="C293" s="1" t="s">
        <v>13</v>
      </c>
      <c r="D293" s="7"/>
      <c r="E293" s="7"/>
      <c r="F293" s="7"/>
      <c r="G293" s="7"/>
      <c r="H293" s="7"/>
      <c r="I293" s="7"/>
      <c r="J293" s="7">
        <f>SUM(D293:H293)</f>
        <v>0</v>
      </c>
      <c r="K293" s="1"/>
      <c r="L293" s="1"/>
    </row>
    <row r="294" spans="1:12">
      <c r="A294" s="1"/>
      <c r="B294" s="1"/>
      <c r="C294" s="1"/>
      <c r="D294" s="7"/>
      <c r="E294" s="7"/>
      <c r="F294" s="7"/>
      <c r="G294" s="7"/>
      <c r="H294" s="7"/>
      <c r="I294" s="7"/>
      <c r="J294" s="7"/>
      <c r="K294" s="1"/>
      <c r="L294" s="1"/>
    </row>
    <row r="295" spans="1:12">
      <c r="A295" s="1"/>
      <c r="B295" s="1"/>
      <c r="C295" s="1" t="s">
        <v>10</v>
      </c>
      <c r="D295" s="7">
        <f t="shared" ref="D295:I295" si="47">SUM(D292:D293)</f>
        <v>8754.15</v>
      </c>
      <c r="E295" s="7">
        <f t="shared" si="47"/>
        <v>141.04</v>
      </c>
      <c r="F295" s="7">
        <f t="shared" si="47"/>
        <v>141.29</v>
      </c>
      <c r="G295" s="7">
        <f t="shared" si="47"/>
        <v>34.049999999999997</v>
      </c>
      <c r="H295" s="7">
        <f t="shared" si="47"/>
        <v>17.48</v>
      </c>
      <c r="I295" s="7">
        <f t="shared" si="47"/>
        <v>0</v>
      </c>
      <c r="J295" s="7">
        <f>SUM(D295:H295)</f>
        <v>9088.01</v>
      </c>
      <c r="K295" s="1"/>
      <c r="L295" s="1"/>
    </row>
    <row r="296" spans="1:12">
      <c r="A296" s="1"/>
      <c r="B296" s="1"/>
      <c r="C296" s="1"/>
      <c r="D296" s="7"/>
      <c r="E296" s="7"/>
      <c r="F296" s="7"/>
      <c r="G296" s="7"/>
      <c r="H296" s="7"/>
      <c r="I296" s="7"/>
      <c r="J296" s="7"/>
      <c r="K296" s="1"/>
      <c r="L296" s="1"/>
    </row>
    <row r="297" spans="1:12">
      <c r="A297" s="1"/>
      <c r="B297" s="1"/>
      <c r="C297" s="1"/>
      <c r="D297" s="7"/>
      <c r="E297" s="7"/>
      <c r="F297" s="7"/>
      <c r="G297" s="7"/>
      <c r="H297" s="7"/>
      <c r="I297" s="7"/>
      <c r="J297" s="7"/>
      <c r="K297" s="1"/>
      <c r="L297" s="1"/>
    </row>
    <row r="298" spans="1:12">
      <c r="A298" s="1">
        <v>70</v>
      </c>
      <c r="B298" s="1" t="s">
        <v>65</v>
      </c>
      <c r="C298" s="1" t="s">
        <v>12</v>
      </c>
      <c r="D298" s="7">
        <v>9280.75</v>
      </c>
      <c r="E298" s="7">
        <v>500.88</v>
      </c>
      <c r="F298" s="7">
        <v>111.98</v>
      </c>
      <c r="G298" s="7"/>
      <c r="H298" s="7"/>
      <c r="I298" s="7"/>
      <c r="J298" s="7">
        <f>SUM(D298:H298)</f>
        <v>9893.6099999999988</v>
      </c>
      <c r="K298" s="1"/>
      <c r="L298" s="1"/>
    </row>
    <row r="299" spans="1:12">
      <c r="A299" s="1"/>
      <c r="B299" s="1"/>
      <c r="C299" s="1"/>
      <c r="D299" s="7"/>
      <c r="E299" s="7"/>
      <c r="F299" s="7"/>
      <c r="G299" s="7"/>
      <c r="H299" s="7"/>
      <c r="I299" s="7"/>
      <c r="J299" s="7">
        <f>SUM(D299:H299)</f>
        <v>0</v>
      </c>
      <c r="K299" s="1"/>
      <c r="L299" s="1"/>
    </row>
    <row r="300" spans="1:12">
      <c r="A300" s="1"/>
      <c r="B300" s="1"/>
      <c r="C300" s="1"/>
      <c r="D300" s="7"/>
      <c r="E300" s="7"/>
      <c r="F300" s="7"/>
      <c r="G300" s="7"/>
      <c r="H300" s="7"/>
      <c r="I300" s="7"/>
      <c r="J300" s="7">
        <f>SUM(D300:H300)</f>
        <v>0</v>
      </c>
      <c r="K300" s="1"/>
      <c r="L300" s="1"/>
    </row>
    <row r="301" spans="1:12">
      <c r="A301" s="1"/>
      <c r="B301" s="1"/>
      <c r="C301" s="1" t="s">
        <v>10</v>
      </c>
      <c r="D301" s="7">
        <f t="shared" ref="D301:I301" si="48">SUM(D298:D300)</f>
        <v>9280.75</v>
      </c>
      <c r="E301" s="7">
        <f t="shared" si="48"/>
        <v>500.88</v>
      </c>
      <c r="F301" s="7">
        <f t="shared" si="48"/>
        <v>111.98</v>
      </c>
      <c r="G301" s="7">
        <f t="shared" si="48"/>
        <v>0</v>
      </c>
      <c r="H301" s="7">
        <f t="shared" si="48"/>
        <v>0</v>
      </c>
      <c r="I301" s="7">
        <f t="shared" si="48"/>
        <v>0</v>
      </c>
      <c r="J301" s="7">
        <f>SUM(D301:H301)</f>
        <v>9893.6099999999988</v>
      </c>
      <c r="K301" s="1"/>
      <c r="L301" s="1"/>
    </row>
    <row r="302" spans="1:12">
      <c r="A302" s="1"/>
      <c r="B302" s="1"/>
      <c r="C302" s="1"/>
      <c r="D302" s="7"/>
      <c r="E302" s="7"/>
      <c r="F302" s="7"/>
      <c r="G302" s="7"/>
      <c r="H302" s="7"/>
      <c r="I302" s="7"/>
      <c r="J302" s="7"/>
      <c r="K302" s="1"/>
      <c r="L302" s="1"/>
    </row>
    <row r="303" spans="1:12">
      <c r="A303" s="1"/>
      <c r="B303" s="1"/>
      <c r="C303" s="1" t="s">
        <v>66</v>
      </c>
      <c r="D303" s="7">
        <f t="shared" ref="D303:I303" si="49">SUM(D9:D301)/2</f>
        <v>497170.58999999985</v>
      </c>
      <c r="E303" s="7">
        <f t="shared" si="49"/>
        <v>13661.779999999999</v>
      </c>
      <c r="F303" s="7">
        <f t="shared" si="49"/>
        <v>5650.119999999999</v>
      </c>
      <c r="G303" s="7">
        <f t="shared" si="49"/>
        <v>3154.58</v>
      </c>
      <c r="H303" s="7">
        <f t="shared" si="49"/>
        <v>1930.2300000000002</v>
      </c>
      <c r="I303" s="7">
        <f t="shared" si="49"/>
        <v>55.19</v>
      </c>
      <c r="J303" s="7">
        <f>SUM(D303:I303)</f>
        <v>521622.48999999987</v>
      </c>
      <c r="K303" s="1"/>
      <c r="L303" s="1"/>
    </row>
    <row r="304" spans="1:12">
      <c r="A304" s="1"/>
      <c r="B304" s="1"/>
      <c r="C304" s="1"/>
      <c r="D304" s="7">
        <f>497170.59-D303</f>
        <v>0</v>
      </c>
      <c r="E304" s="7"/>
      <c r="F304" s="7"/>
      <c r="G304" s="7"/>
      <c r="H304" s="7"/>
      <c r="I304" s="7"/>
      <c r="J304" s="7"/>
      <c r="K304" s="1"/>
      <c r="L304" s="1"/>
    </row>
    <row r="305" spans="1:1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</sheetData>
  <phoneticPr fontId="0" type="noConversion"/>
  <pageMargins left="0.25" right="0.25" top="0.25" bottom="0.25" header="0.5" footer="0.5"/>
  <pageSetup orientation="landscape" r:id="rId1"/>
  <headerFooter alignWithMargins="0"/>
  <rowBreaks count="51" manualBreakCount="51">
    <brk id="7" max="65535" man="1"/>
    <brk id="12" max="65535" man="1"/>
    <brk id="18" max="65535" man="1"/>
    <brk id="24" max="65535" man="1"/>
    <brk id="30" max="65535" man="1"/>
    <brk id="36" max="65535" man="1"/>
    <brk id="43" max="65535" man="1"/>
    <brk id="49" max="65535" man="1"/>
    <brk id="56" max="65535" man="1"/>
    <brk id="62" max="65535" man="1"/>
    <brk id="68" max="65535" man="1"/>
    <brk id="75" max="65535" man="1"/>
    <brk id="82" max="65535" man="1"/>
    <brk id="89" max="65535" man="1"/>
    <brk id="94" max="65535" man="1"/>
    <brk id="100" max="65535" man="1"/>
    <brk id="105" max="65535" man="1"/>
    <brk id="111" max="65535" man="1"/>
    <brk id="117" max="65535" man="1"/>
    <brk id="121" max="65535" man="1"/>
    <brk id="127" max="65535" man="1"/>
    <brk id="133" max="65535" man="1"/>
    <brk id="140" max="65535" man="1"/>
    <brk id="146" max="65535" man="1"/>
    <brk id="151" max="65535" man="1"/>
    <brk id="156" max="65535" man="1"/>
    <brk id="162" max="65535" man="1"/>
    <brk id="167" max="65535" man="1"/>
    <brk id="172" max="65535" man="1"/>
    <brk id="178" max="65535" man="1"/>
    <brk id="185" max="65535" man="1"/>
    <brk id="191" max="65535" man="1"/>
    <brk id="197" max="65535" man="1"/>
    <brk id="202" max="65535" man="1"/>
    <brk id="208" max="65535" man="1"/>
    <brk id="214" max="65535" man="1"/>
    <brk id="220" max="65535" man="1"/>
    <brk id="226" max="65535" man="1"/>
    <brk id="232" max="65535" man="1"/>
    <brk id="237" max="65535" man="1"/>
    <brk id="243" max="65535" man="1"/>
    <brk id="249" max="65535" man="1"/>
    <brk id="255" max="65535" man="1"/>
    <brk id="260" max="65535" man="1"/>
    <brk id="266" max="65535" man="1"/>
    <brk id="273" max="65535" man="1"/>
    <brk id="279" max="65535" man="1"/>
    <brk id="285" max="65535" man="1"/>
    <brk id="290" max="65535" man="1"/>
    <brk id="297" max="65535" man="1"/>
    <brk id="302" max="655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L306"/>
  <sheetViews>
    <sheetView showOutlineSymbols="0" defaultGridColor="0" colorId="23" zoomScale="75" workbookViewId="0"/>
  </sheetViews>
  <sheetFormatPr defaultColWidth="9.6640625" defaultRowHeight="15"/>
  <cols>
    <col min="1" max="1" width="9.6640625" customWidth="1"/>
    <col min="2" max="2" width="16.6640625" customWidth="1"/>
    <col min="3" max="3" width="21.6640625" customWidth="1"/>
    <col min="4" max="5" width="11.6640625" customWidth="1"/>
    <col min="6" max="9" width="9.6640625" customWidth="1"/>
    <col min="10" max="10" width="12.6640625" customWidth="1"/>
  </cols>
  <sheetData>
    <row r="1" spans="1:12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 t="s">
        <v>82</v>
      </c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 t="s">
        <v>85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>
      <c r="A4" s="1"/>
      <c r="B4" s="3" t="s">
        <v>1</v>
      </c>
      <c r="C4" s="2"/>
      <c r="D4" s="2"/>
      <c r="E4" s="2"/>
      <c r="F4" s="2"/>
      <c r="G4" s="2"/>
      <c r="H4" s="2"/>
      <c r="I4" s="2"/>
      <c r="J4" s="2"/>
      <c r="K4" s="1"/>
      <c r="L4" s="1"/>
    </row>
    <row r="5" spans="1:12" ht="15.75">
      <c r="A5" s="1"/>
      <c r="B5" s="3" t="s">
        <v>86</v>
      </c>
      <c r="C5" s="2"/>
      <c r="D5" s="2"/>
      <c r="E5" s="2"/>
      <c r="F5" s="2"/>
      <c r="G5" s="2"/>
      <c r="H5" s="2"/>
      <c r="I5" s="2"/>
      <c r="J5" s="2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4" t="s">
        <v>3</v>
      </c>
      <c r="C7" s="4" t="s">
        <v>4</v>
      </c>
      <c r="D7" s="5">
        <v>1998</v>
      </c>
      <c r="E7" s="5">
        <v>1997</v>
      </c>
      <c r="F7" s="5">
        <v>1996</v>
      </c>
      <c r="G7" s="5">
        <v>1995</v>
      </c>
      <c r="H7" s="6">
        <v>1994</v>
      </c>
      <c r="I7" s="6">
        <v>1993</v>
      </c>
      <c r="J7" s="5" t="s">
        <v>10</v>
      </c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>
        <v>21</v>
      </c>
      <c r="B9" s="1" t="s">
        <v>11</v>
      </c>
      <c r="C9" s="1" t="s">
        <v>12</v>
      </c>
      <c r="D9" s="7">
        <f>6871.17+86.27</f>
        <v>6957.4400000000005</v>
      </c>
      <c r="E9" s="7">
        <v>491.91</v>
      </c>
      <c r="F9" s="7">
        <v>0</v>
      </c>
      <c r="G9" s="7"/>
      <c r="H9" s="7"/>
      <c r="I9" s="7"/>
      <c r="J9" s="7">
        <f>SUM(D9:I9)</f>
        <v>7449.35</v>
      </c>
      <c r="K9" s="1"/>
      <c r="L9" s="1"/>
    </row>
    <row r="10" spans="1:12">
      <c r="A10" s="1"/>
      <c r="B10" s="1"/>
      <c r="C10" s="1" t="s">
        <v>13</v>
      </c>
      <c r="D10" s="7">
        <f>2.89+230.88</f>
        <v>233.76999999999998</v>
      </c>
      <c r="E10" s="7">
        <v>16.89</v>
      </c>
      <c r="F10" s="7">
        <v>0</v>
      </c>
      <c r="G10" s="7"/>
      <c r="H10" s="7"/>
      <c r="I10" s="7"/>
      <c r="J10" s="7">
        <f>SUM(D10:I10)</f>
        <v>250.65999999999997</v>
      </c>
      <c r="K10" s="1"/>
      <c r="L10" s="1"/>
    </row>
    <row r="11" spans="1:12">
      <c r="A11" s="1"/>
      <c r="B11" s="1"/>
      <c r="C11" s="1"/>
      <c r="D11" s="7"/>
      <c r="E11" s="7"/>
      <c r="F11" s="7"/>
      <c r="G11" s="7"/>
      <c r="H11" s="7"/>
      <c r="I11" s="7"/>
      <c r="J11" s="7"/>
      <c r="K11" s="1"/>
      <c r="L11" s="1"/>
    </row>
    <row r="12" spans="1:12">
      <c r="A12" s="1"/>
      <c r="B12" s="1"/>
      <c r="C12" s="1" t="s">
        <v>10</v>
      </c>
      <c r="D12" s="7">
        <f t="shared" ref="D12:I12" si="0">SUM(D9:D10)</f>
        <v>7191.2100000000009</v>
      </c>
      <c r="E12" s="7">
        <f t="shared" si="0"/>
        <v>508.8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7">
        <f t="shared" si="0"/>
        <v>0</v>
      </c>
      <c r="J12" s="7">
        <f>SUM(D12:I12)</f>
        <v>7700.0100000000011</v>
      </c>
      <c r="K12" s="1"/>
      <c r="L12" s="1"/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7"/>
      <c r="K13" s="1"/>
      <c r="L13" s="1"/>
    </row>
    <row r="14" spans="1:12">
      <c r="A14" s="1">
        <v>22</v>
      </c>
      <c r="B14" s="1" t="s">
        <v>15</v>
      </c>
      <c r="C14" s="1" t="s">
        <v>12</v>
      </c>
      <c r="D14" s="7">
        <f>7264.58+26.09</f>
        <v>7290.67</v>
      </c>
      <c r="E14" s="7">
        <v>31.52</v>
      </c>
      <c r="F14" s="7">
        <v>20.09</v>
      </c>
      <c r="G14" s="7">
        <v>21.3</v>
      </c>
      <c r="H14" s="7"/>
      <c r="I14" s="7"/>
      <c r="J14" s="7">
        <f>SUM(D14:I14)</f>
        <v>7363.5800000000008</v>
      </c>
      <c r="K14" s="1"/>
      <c r="L14" s="1"/>
    </row>
    <row r="15" spans="1:12">
      <c r="A15" s="1"/>
      <c r="B15" s="1"/>
      <c r="C15" s="1" t="s">
        <v>13</v>
      </c>
      <c r="D15" s="7">
        <f>2.06+568.59</f>
        <v>570.65</v>
      </c>
      <c r="E15" s="7">
        <v>2.36</v>
      </c>
      <c r="F15" s="7">
        <v>1.34</v>
      </c>
      <c r="G15" s="7">
        <v>1.55</v>
      </c>
      <c r="H15" s="7"/>
      <c r="I15" s="7"/>
      <c r="J15" s="7">
        <f>SUM(D15:I15)</f>
        <v>575.9</v>
      </c>
      <c r="K15" s="1"/>
      <c r="L15" s="1"/>
    </row>
    <row r="16" spans="1:12">
      <c r="A16" s="1"/>
      <c r="B16" s="1"/>
      <c r="C16" s="1"/>
      <c r="D16" s="7"/>
      <c r="E16" s="7"/>
      <c r="F16" s="7"/>
      <c r="G16" s="7"/>
      <c r="H16" s="7"/>
      <c r="I16" s="7"/>
      <c r="J16" s="7"/>
      <c r="K16" s="1"/>
      <c r="L16" s="1"/>
    </row>
    <row r="17" spans="1:12">
      <c r="A17" s="1"/>
      <c r="B17" s="1"/>
      <c r="C17" s="1" t="s">
        <v>10</v>
      </c>
      <c r="D17" s="7">
        <f t="shared" ref="D17:I17" si="1">SUM(D14:D15)</f>
        <v>7861.32</v>
      </c>
      <c r="E17" s="7">
        <f t="shared" si="1"/>
        <v>33.880000000000003</v>
      </c>
      <c r="F17" s="7">
        <f t="shared" si="1"/>
        <v>21.43</v>
      </c>
      <c r="G17" s="7">
        <f t="shared" si="1"/>
        <v>22.85</v>
      </c>
      <c r="H17" s="7">
        <f t="shared" si="1"/>
        <v>0</v>
      </c>
      <c r="I17" s="7">
        <f t="shared" si="1"/>
        <v>0</v>
      </c>
      <c r="J17" s="7">
        <f>SUM(D17:I17)</f>
        <v>7939.4800000000005</v>
      </c>
      <c r="K17" s="1"/>
      <c r="L17" s="1"/>
    </row>
    <row r="18" spans="1:12">
      <c r="A18" s="1"/>
      <c r="B18" s="1"/>
      <c r="C18" s="1"/>
      <c r="D18" s="7"/>
      <c r="E18" s="7"/>
      <c r="F18" s="7"/>
      <c r="G18" s="7"/>
      <c r="H18" s="7"/>
      <c r="I18" s="7"/>
      <c r="J18" s="7"/>
      <c r="K18" s="1"/>
      <c r="L18" s="1"/>
    </row>
    <row r="19" spans="1:12">
      <c r="A19" s="1">
        <v>23</v>
      </c>
      <c r="B19" s="1" t="s">
        <v>16</v>
      </c>
      <c r="C19" s="1" t="s">
        <v>12</v>
      </c>
      <c r="D19" s="7">
        <v>6560.53</v>
      </c>
      <c r="E19" s="7">
        <v>155.79</v>
      </c>
      <c r="F19" s="7"/>
      <c r="G19" s="7"/>
      <c r="H19" s="7"/>
      <c r="I19" s="7"/>
      <c r="J19" s="7">
        <f>SUM(D19:I19)</f>
        <v>6716.32</v>
      </c>
      <c r="K19" s="1"/>
      <c r="L19" s="1"/>
    </row>
    <row r="20" spans="1:12">
      <c r="A20" s="1"/>
      <c r="B20" s="1"/>
      <c r="C20" s="1" t="s">
        <v>13</v>
      </c>
      <c r="D20" s="7">
        <v>221.69</v>
      </c>
      <c r="E20" s="7">
        <v>5.25</v>
      </c>
      <c r="F20" s="7"/>
      <c r="G20" s="7"/>
      <c r="H20" s="7"/>
      <c r="I20" s="7"/>
      <c r="J20" s="7">
        <f>SUM(D20:I20)</f>
        <v>226.94</v>
      </c>
      <c r="K20" s="1"/>
      <c r="L20" s="1"/>
    </row>
    <row r="21" spans="1:12">
      <c r="A21" s="1"/>
      <c r="B21" s="1"/>
      <c r="C21" s="1"/>
      <c r="D21" s="7"/>
      <c r="E21" s="7"/>
      <c r="F21" s="7"/>
      <c r="G21" s="7"/>
      <c r="H21" s="7"/>
      <c r="I21" s="7"/>
      <c r="J21" s="7"/>
      <c r="K21" s="1"/>
      <c r="L21" s="1"/>
    </row>
    <row r="22" spans="1:12">
      <c r="A22" s="1"/>
      <c r="B22" s="1"/>
      <c r="C22" s="1" t="s">
        <v>10</v>
      </c>
      <c r="D22" s="7">
        <f t="shared" ref="D22:I22" si="2">SUM(D19:D20)</f>
        <v>6782.2199999999993</v>
      </c>
      <c r="E22" s="7">
        <f t="shared" si="2"/>
        <v>161.04</v>
      </c>
      <c r="F22" s="7">
        <f t="shared" si="2"/>
        <v>0</v>
      </c>
      <c r="G22" s="7">
        <f t="shared" si="2"/>
        <v>0</v>
      </c>
      <c r="H22" s="7">
        <f t="shared" si="2"/>
        <v>0</v>
      </c>
      <c r="I22" s="7">
        <f t="shared" si="2"/>
        <v>0</v>
      </c>
      <c r="J22" s="7">
        <f>SUM(D22:I22)</f>
        <v>6943.2599999999993</v>
      </c>
      <c r="K22" s="1"/>
      <c r="L22" s="1"/>
    </row>
    <row r="23" spans="1:12">
      <c r="A23" s="1"/>
      <c r="B23" s="1"/>
      <c r="C23" s="1"/>
      <c r="D23" s="7"/>
      <c r="E23" s="7"/>
      <c r="F23" s="7"/>
      <c r="G23" s="7"/>
      <c r="H23" s="7"/>
      <c r="I23" s="7"/>
      <c r="J23" s="7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7"/>
      <c r="K24" s="1"/>
      <c r="L24" s="1"/>
    </row>
    <row r="25" spans="1:12">
      <c r="A25" s="1"/>
      <c r="B25" s="1"/>
      <c r="C25" s="1"/>
      <c r="D25" s="7"/>
      <c r="E25" s="7"/>
      <c r="F25" s="7"/>
      <c r="G25" s="7"/>
      <c r="H25" s="7"/>
      <c r="I25" s="7"/>
      <c r="J25" s="7"/>
      <c r="K25" s="1"/>
      <c r="L25" s="1"/>
    </row>
    <row r="26" spans="1:12">
      <c r="A26" s="1">
        <v>24</v>
      </c>
      <c r="B26" s="1" t="s">
        <v>17</v>
      </c>
      <c r="C26" s="1" t="s">
        <v>12</v>
      </c>
      <c r="D26" s="7">
        <f>4190.87+480.32</f>
        <v>4671.1899999999996</v>
      </c>
      <c r="E26" s="7">
        <v>1.65</v>
      </c>
      <c r="F26" s="7">
        <v>0</v>
      </c>
      <c r="G26" s="7"/>
      <c r="H26" s="7"/>
      <c r="I26" s="7"/>
      <c r="J26" s="7">
        <f>SUM(D26:I26)</f>
        <v>4672.8399999999992</v>
      </c>
      <c r="K26" s="1"/>
      <c r="L26" s="1"/>
    </row>
    <row r="27" spans="1:12">
      <c r="A27" s="1"/>
      <c r="B27" s="1"/>
      <c r="C27" s="1"/>
      <c r="D27" s="7"/>
      <c r="E27" s="7"/>
      <c r="F27" s="7"/>
      <c r="G27" s="7"/>
      <c r="H27" s="7"/>
      <c r="I27" s="7"/>
      <c r="J27" s="7"/>
      <c r="K27" s="1"/>
      <c r="L27" s="1"/>
    </row>
    <row r="28" spans="1:12">
      <c r="A28" s="1"/>
      <c r="B28" s="1"/>
      <c r="C28" s="1" t="s">
        <v>10</v>
      </c>
      <c r="D28" s="7">
        <f t="shared" ref="D28:I28" si="3">SUM(D26:D27)</f>
        <v>4671.1899999999996</v>
      </c>
      <c r="E28" s="7">
        <f t="shared" si="3"/>
        <v>1.65</v>
      </c>
      <c r="F28" s="7">
        <f t="shared" si="3"/>
        <v>0</v>
      </c>
      <c r="G28" s="7">
        <f t="shared" si="3"/>
        <v>0</v>
      </c>
      <c r="H28" s="7">
        <f t="shared" si="3"/>
        <v>0</v>
      </c>
      <c r="I28" s="7">
        <f t="shared" si="3"/>
        <v>0</v>
      </c>
      <c r="J28" s="7">
        <f>SUM(D28:I28)</f>
        <v>4672.8399999999992</v>
      </c>
      <c r="K28" s="1"/>
      <c r="L28" s="1"/>
    </row>
    <row r="29" spans="1:12">
      <c r="A29" s="1"/>
      <c r="B29" s="1"/>
      <c r="C29" s="1"/>
      <c r="D29" s="7"/>
      <c r="E29" s="7"/>
      <c r="F29" s="7"/>
      <c r="G29" s="7"/>
      <c r="H29" s="7"/>
      <c r="I29" s="7"/>
      <c r="J29" s="7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7"/>
      <c r="K30" s="1"/>
      <c r="L30" s="1"/>
    </row>
    <row r="31" spans="1:12">
      <c r="A31" s="1"/>
      <c r="B31" s="1"/>
      <c r="C31" s="1"/>
      <c r="D31" s="7"/>
      <c r="E31" s="7"/>
      <c r="F31" s="7"/>
      <c r="G31" s="7"/>
      <c r="H31" s="7"/>
      <c r="I31" s="7"/>
      <c r="J31" s="7"/>
      <c r="K31" s="1"/>
      <c r="L31" s="1"/>
    </row>
    <row r="32" spans="1:12">
      <c r="A32" s="1">
        <v>25</v>
      </c>
      <c r="B32" s="1" t="s">
        <v>18</v>
      </c>
      <c r="C32" s="1" t="s">
        <v>12</v>
      </c>
      <c r="D32" s="7">
        <v>21664.14</v>
      </c>
      <c r="E32" s="7">
        <v>280.11</v>
      </c>
      <c r="F32" s="7">
        <v>177.36</v>
      </c>
      <c r="G32" s="7">
        <v>1.02</v>
      </c>
      <c r="H32" s="7"/>
      <c r="I32" s="7"/>
      <c r="J32" s="7">
        <f>SUM(D32:I32)</f>
        <v>22122.63</v>
      </c>
      <c r="K32" s="1"/>
      <c r="L32" s="1"/>
    </row>
    <row r="33" spans="1:12">
      <c r="A33" s="1"/>
      <c r="B33" s="1"/>
      <c r="C33" s="1"/>
      <c r="D33" s="7"/>
      <c r="E33" s="7"/>
      <c r="F33" s="7"/>
      <c r="G33" s="7"/>
      <c r="H33" s="7"/>
      <c r="I33" s="7"/>
      <c r="J33" s="7"/>
      <c r="K33" s="1"/>
      <c r="L33" s="1"/>
    </row>
    <row r="34" spans="1:12">
      <c r="A34" s="1"/>
      <c r="B34" s="1"/>
      <c r="C34" s="1" t="s">
        <v>10</v>
      </c>
      <c r="D34" s="7">
        <f t="shared" ref="D34:I34" si="4">SUM(D32:D33)</f>
        <v>21664.14</v>
      </c>
      <c r="E34" s="7">
        <f t="shared" si="4"/>
        <v>280.11</v>
      </c>
      <c r="F34" s="7">
        <f t="shared" si="4"/>
        <v>177.36</v>
      </c>
      <c r="G34" s="7">
        <f t="shared" si="4"/>
        <v>1.02</v>
      </c>
      <c r="H34" s="7">
        <f t="shared" si="4"/>
        <v>0</v>
      </c>
      <c r="I34" s="7">
        <f t="shared" si="4"/>
        <v>0</v>
      </c>
      <c r="J34" s="7">
        <f>SUM(D34:I34)</f>
        <v>22122.63</v>
      </c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7"/>
      <c r="K35" s="1"/>
      <c r="L35" s="1"/>
    </row>
    <row r="36" spans="1:12">
      <c r="A36" s="1"/>
      <c r="B36" s="1"/>
      <c r="C36" s="1"/>
      <c r="D36" s="7"/>
      <c r="E36" s="7"/>
      <c r="F36" s="7"/>
      <c r="G36" s="7"/>
      <c r="H36" s="7"/>
      <c r="I36" s="7"/>
      <c r="J36" s="7"/>
      <c r="K36" s="1"/>
      <c r="L36" s="1"/>
    </row>
    <row r="37" spans="1:12">
      <c r="A37" s="1"/>
      <c r="B37" s="1"/>
      <c r="C37" s="1"/>
      <c r="D37" s="7"/>
      <c r="E37" s="7"/>
      <c r="F37" s="7"/>
      <c r="G37" s="7"/>
      <c r="H37" s="7"/>
      <c r="I37" s="7"/>
      <c r="J37" s="7"/>
      <c r="K37" s="1"/>
      <c r="L37" s="1"/>
    </row>
    <row r="38" spans="1:12">
      <c r="A38" s="1">
        <v>26</v>
      </c>
      <c r="B38" s="1" t="s">
        <v>19</v>
      </c>
      <c r="C38" s="1" t="s">
        <v>12</v>
      </c>
      <c r="D38" s="7">
        <f>131.7+4875.21</f>
        <v>5006.91</v>
      </c>
      <c r="E38" s="7">
        <v>32.67</v>
      </c>
      <c r="F38" s="7">
        <v>34.58</v>
      </c>
      <c r="G38" s="7">
        <v>36.270000000000003</v>
      </c>
      <c r="H38" s="7">
        <v>35.03</v>
      </c>
      <c r="I38" s="7"/>
      <c r="J38" s="7">
        <f>SUM(D38:I38)</f>
        <v>5145.46</v>
      </c>
      <c r="K38" s="1"/>
      <c r="L38" s="1"/>
    </row>
    <row r="39" spans="1:12">
      <c r="A39" s="1"/>
      <c r="B39" s="1"/>
      <c r="C39" s="1" t="s">
        <v>13</v>
      </c>
      <c r="D39" s="7">
        <f>125.63+3.39</f>
        <v>129.01999999999998</v>
      </c>
      <c r="E39" s="7">
        <v>1.18</v>
      </c>
      <c r="F39" s="7">
        <v>0.99</v>
      </c>
      <c r="G39" s="7">
        <v>0.78</v>
      </c>
      <c r="H39" s="7">
        <v>0.74</v>
      </c>
      <c r="I39" s="7"/>
      <c r="J39" s="7">
        <f>SUM(D39:I39)</f>
        <v>132.71</v>
      </c>
      <c r="K39" s="1"/>
      <c r="L39" s="1"/>
    </row>
    <row r="40" spans="1:12">
      <c r="A40" s="1"/>
      <c r="B40" s="1"/>
      <c r="C40" s="1"/>
      <c r="D40" s="7"/>
      <c r="E40" s="7"/>
      <c r="F40" s="7"/>
      <c r="G40" s="7"/>
      <c r="H40" s="7"/>
      <c r="I40" s="7"/>
      <c r="J40" s="7"/>
      <c r="K40" s="1"/>
      <c r="L40" s="1"/>
    </row>
    <row r="41" spans="1:12">
      <c r="A41" s="1"/>
      <c r="B41" s="1"/>
      <c r="C41" s="1" t="s">
        <v>10</v>
      </c>
      <c r="D41" s="7">
        <f t="shared" ref="D41:I41" si="5">SUM(D38:D39)</f>
        <v>5135.93</v>
      </c>
      <c r="E41" s="7">
        <f t="shared" si="5"/>
        <v>33.85</v>
      </c>
      <c r="F41" s="7">
        <f t="shared" si="5"/>
        <v>35.57</v>
      </c>
      <c r="G41" s="7">
        <f t="shared" si="5"/>
        <v>37.050000000000004</v>
      </c>
      <c r="H41" s="7">
        <f t="shared" si="5"/>
        <v>35.770000000000003</v>
      </c>
      <c r="I41" s="7">
        <f t="shared" si="5"/>
        <v>0</v>
      </c>
      <c r="J41" s="7">
        <f>SUM(D41:I41)</f>
        <v>5278.170000000001</v>
      </c>
      <c r="K41" s="1"/>
      <c r="L41" s="1"/>
    </row>
    <row r="42" spans="1:12">
      <c r="A42" s="1"/>
      <c r="B42" s="1"/>
      <c r="C42" s="1"/>
      <c r="D42" s="7"/>
      <c r="E42" s="7"/>
      <c r="F42" s="7"/>
      <c r="G42" s="7"/>
      <c r="H42" s="7"/>
      <c r="I42" s="7"/>
      <c r="J42" s="7"/>
      <c r="K42" s="1"/>
      <c r="L42" s="1"/>
    </row>
    <row r="43" spans="1:12">
      <c r="A43" s="1"/>
      <c r="B43" s="1"/>
      <c r="C43" s="1"/>
      <c r="D43" s="7"/>
      <c r="E43" s="7"/>
      <c r="F43" s="7"/>
      <c r="G43" s="7"/>
      <c r="H43" s="7"/>
      <c r="I43" s="7"/>
      <c r="J43" s="7"/>
      <c r="K43" s="1"/>
      <c r="L43" s="1"/>
    </row>
    <row r="44" spans="1:12">
      <c r="A44" s="1">
        <v>27</v>
      </c>
      <c r="B44" s="1" t="s">
        <v>20</v>
      </c>
      <c r="C44" s="1" t="s">
        <v>12</v>
      </c>
      <c r="D44" s="7">
        <f>331.74+6455.8</f>
        <v>6787.54</v>
      </c>
      <c r="E44" s="7">
        <v>0</v>
      </c>
      <c r="F44" s="7">
        <v>0</v>
      </c>
      <c r="G44" s="7"/>
      <c r="H44" s="7"/>
      <c r="I44" s="7"/>
      <c r="J44" s="7">
        <f>SUM(D44:I44)</f>
        <v>6787.54</v>
      </c>
      <c r="K44" s="1"/>
      <c r="L44" s="1"/>
    </row>
    <row r="45" spans="1:12">
      <c r="A45" s="1"/>
      <c r="B45" s="1"/>
      <c r="C45" s="1"/>
      <c r="D45" s="7"/>
      <c r="E45" s="7"/>
      <c r="F45" s="7"/>
      <c r="G45" s="7"/>
      <c r="H45" s="7"/>
      <c r="I45" s="7"/>
      <c r="J45" s="7"/>
      <c r="K45" s="1"/>
      <c r="L45" s="1"/>
    </row>
    <row r="46" spans="1:12">
      <c r="A46" s="1"/>
      <c r="B46" s="1"/>
      <c r="C46" s="1" t="s">
        <v>10</v>
      </c>
      <c r="D46" s="7">
        <f t="shared" ref="D46:I46" si="6">SUM(D44:D45)</f>
        <v>6787.54</v>
      </c>
      <c r="E46" s="7">
        <f t="shared" si="6"/>
        <v>0</v>
      </c>
      <c r="F46" s="7">
        <f t="shared" si="6"/>
        <v>0</v>
      </c>
      <c r="G46" s="7">
        <f t="shared" si="6"/>
        <v>0</v>
      </c>
      <c r="H46" s="7">
        <f t="shared" si="6"/>
        <v>0</v>
      </c>
      <c r="I46" s="7">
        <f t="shared" si="6"/>
        <v>0</v>
      </c>
      <c r="J46" s="7">
        <f>SUM(D46:I46)</f>
        <v>6787.54</v>
      </c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7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7"/>
      <c r="K48" s="1"/>
      <c r="L48" s="1"/>
    </row>
    <row r="49" spans="1:12">
      <c r="A49" s="1"/>
      <c r="B49" s="1"/>
      <c r="C49" s="1"/>
      <c r="D49" s="7"/>
      <c r="E49" s="7"/>
      <c r="F49" s="7"/>
      <c r="G49" s="7"/>
      <c r="H49" s="7"/>
      <c r="I49" s="7"/>
      <c r="J49" s="7"/>
      <c r="K49" s="1"/>
      <c r="L49" s="1"/>
    </row>
    <row r="50" spans="1:12">
      <c r="A50" s="1"/>
      <c r="B50" s="1"/>
      <c r="C50" s="1"/>
      <c r="D50" s="7"/>
      <c r="E50" s="7"/>
      <c r="F50" s="7"/>
      <c r="G50" s="7"/>
      <c r="H50" s="7"/>
      <c r="I50" s="7"/>
      <c r="J50" s="7"/>
      <c r="K50" s="1"/>
      <c r="L50" s="1"/>
    </row>
    <row r="51" spans="1:12">
      <c r="A51" s="1">
        <v>28</v>
      </c>
      <c r="B51" s="1" t="s">
        <v>21</v>
      </c>
      <c r="C51" s="1" t="s">
        <v>12</v>
      </c>
      <c r="D51" s="7">
        <f>5539.03+290.55</f>
        <v>5829.58</v>
      </c>
      <c r="E51" s="7">
        <v>1.54</v>
      </c>
      <c r="F51" s="7"/>
      <c r="G51" s="7"/>
      <c r="H51" s="7"/>
      <c r="I51" s="7"/>
      <c r="J51" s="7">
        <f>SUM(D51:I51)</f>
        <v>5831.12</v>
      </c>
      <c r="K51" s="1"/>
      <c r="L51" s="1"/>
    </row>
    <row r="52" spans="1:12">
      <c r="A52" s="1"/>
      <c r="B52" s="1"/>
      <c r="C52" s="1" t="s">
        <v>13</v>
      </c>
      <c r="D52" s="7">
        <f>10.07+189.43</f>
        <v>199.5</v>
      </c>
      <c r="E52" s="7">
        <v>-0.22</v>
      </c>
      <c r="F52" s="7"/>
      <c r="G52" s="7"/>
      <c r="H52" s="7"/>
      <c r="I52" s="7"/>
      <c r="J52" s="7">
        <f>SUM(D52:I52)</f>
        <v>199.28</v>
      </c>
      <c r="K52" s="1"/>
      <c r="L52" s="1"/>
    </row>
    <row r="53" spans="1:12">
      <c r="A53" s="1"/>
      <c r="B53" s="1"/>
      <c r="C53" s="1"/>
      <c r="D53" s="7"/>
      <c r="E53" s="7"/>
      <c r="F53" s="7"/>
      <c r="G53" s="7"/>
      <c r="H53" s="7"/>
      <c r="I53" s="7"/>
      <c r="J53" s="7"/>
      <c r="K53" s="1"/>
      <c r="L53" s="1"/>
    </row>
    <row r="54" spans="1:12">
      <c r="A54" s="1"/>
      <c r="B54" s="1"/>
      <c r="C54" s="1" t="s">
        <v>10</v>
      </c>
      <c r="D54" s="7">
        <f t="shared" ref="D54:I54" si="7">SUM(D51:D52)</f>
        <v>6029.08</v>
      </c>
      <c r="E54" s="7">
        <f t="shared" si="7"/>
        <v>1.32</v>
      </c>
      <c r="F54" s="7">
        <f t="shared" si="7"/>
        <v>0</v>
      </c>
      <c r="G54" s="7">
        <f t="shared" si="7"/>
        <v>0</v>
      </c>
      <c r="H54" s="7">
        <f t="shared" si="7"/>
        <v>0</v>
      </c>
      <c r="I54" s="7">
        <f t="shared" si="7"/>
        <v>0</v>
      </c>
      <c r="J54" s="7">
        <f>SUM(D54:I54)</f>
        <v>6030.4</v>
      </c>
      <c r="K54" s="1"/>
      <c r="L54" s="1"/>
    </row>
    <row r="55" spans="1:12">
      <c r="A55" s="1"/>
      <c r="B55" s="1"/>
      <c r="C55" s="1"/>
      <c r="D55" s="7"/>
      <c r="E55" s="7"/>
      <c r="F55" s="7"/>
      <c r="G55" s="7"/>
      <c r="H55" s="7"/>
      <c r="I55" s="7"/>
      <c r="J55" s="7"/>
      <c r="K55" s="1"/>
      <c r="L55" s="1"/>
    </row>
    <row r="56" spans="1:12">
      <c r="A56" s="1"/>
      <c r="B56" s="1"/>
      <c r="C56" s="1"/>
      <c r="D56" s="7"/>
      <c r="E56" s="7"/>
      <c r="F56" s="7"/>
      <c r="G56" s="7"/>
      <c r="H56" s="7"/>
      <c r="I56" s="7"/>
      <c r="J56" s="7"/>
      <c r="K56" s="1"/>
      <c r="L56" s="1"/>
    </row>
    <row r="57" spans="1:12">
      <c r="A57" s="1">
        <v>29</v>
      </c>
      <c r="B57" s="1" t="s">
        <v>22</v>
      </c>
      <c r="C57" s="1" t="s">
        <v>12</v>
      </c>
      <c r="D57" s="7">
        <f>10312.69+555.63</f>
        <v>10868.32</v>
      </c>
      <c r="E57" s="7">
        <v>39.51</v>
      </c>
      <c r="F57" s="7">
        <v>1.48</v>
      </c>
      <c r="G57" s="7"/>
      <c r="H57" s="7"/>
      <c r="I57" s="7"/>
      <c r="J57" s="7">
        <f>SUM(D57:I57)</f>
        <v>10909.31</v>
      </c>
      <c r="K57" s="1"/>
      <c r="L57" s="1"/>
    </row>
    <row r="58" spans="1:12">
      <c r="A58" s="1"/>
      <c r="B58" s="1"/>
      <c r="C58" s="1" t="s">
        <v>35</v>
      </c>
      <c r="D58" s="7">
        <f>25.68+476.93</f>
        <v>502.61</v>
      </c>
      <c r="E58" s="7">
        <v>1.73</v>
      </c>
      <c r="F58" s="7">
        <v>0.2</v>
      </c>
      <c r="G58" s="7"/>
      <c r="H58" s="7"/>
      <c r="I58" s="7"/>
      <c r="J58" s="7">
        <f>SUM(D58:I58)</f>
        <v>504.54</v>
      </c>
      <c r="K58" s="1"/>
      <c r="L58" s="1"/>
    </row>
    <row r="59" spans="1:12">
      <c r="A59" s="1"/>
      <c r="B59" s="1"/>
      <c r="C59" s="1" t="s">
        <v>13</v>
      </c>
      <c r="D59" s="7">
        <f>710.53+38.29</f>
        <v>748.81999999999994</v>
      </c>
      <c r="E59" s="7">
        <v>2.68</v>
      </c>
      <c r="F59" s="7">
        <v>0.24</v>
      </c>
      <c r="G59" s="7"/>
      <c r="H59" s="7"/>
      <c r="I59" s="7"/>
      <c r="J59" s="7">
        <f>SUM(D59:I59)</f>
        <v>751.7399999999999</v>
      </c>
      <c r="K59" s="1"/>
      <c r="L59" s="1"/>
    </row>
    <row r="60" spans="1:12">
      <c r="A60" s="1"/>
      <c r="B60" s="1"/>
      <c r="C60" s="1" t="s">
        <v>78</v>
      </c>
      <c r="D60" s="7">
        <f>76.6+1421.45</f>
        <v>1498.05</v>
      </c>
      <c r="E60" s="7">
        <v>5.39</v>
      </c>
      <c r="F60" s="7">
        <v>0.3</v>
      </c>
      <c r="G60" s="7"/>
      <c r="H60" s="7"/>
      <c r="I60" s="7"/>
      <c r="J60" s="7">
        <f>SUM(D60:I60)</f>
        <v>1503.74</v>
      </c>
      <c r="K60" s="1"/>
      <c r="L60" s="1"/>
    </row>
    <row r="61" spans="1:12">
      <c r="A61" s="1"/>
      <c r="B61" s="1"/>
      <c r="C61" s="1"/>
      <c r="D61" s="7"/>
      <c r="E61" s="7"/>
      <c r="F61" s="7"/>
      <c r="G61" s="7"/>
      <c r="H61" s="7"/>
      <c r="I61" s="7"/>
      <c r="J61" s="7"/>
      <c r="K61" s="1"/>
      <c r="L61" s="1"/>
    </row>
    <row r="62" spans="1:12">
      <c r="A62" s="1"/>
      <c r="B62" s="1"/>
      <c r="C62" s="1" t="s">
        <v>10</v>
      </c>
      <c r="D62" s="7">
        <f t="shared" ref="D62:I62" si="8">SUM(D57:D60)</f>
        <v>13617.8</v>
      </c>
      <c r="E62" s="7">
        <f t="shared" si="8"/>
        <v>49.309999999999995</v>
      </c>
      <c r="F62" s="7">
        <f t="shared" si="8"/>
        <v>2.2199999999999998</v>
      </c>
      <c r="G62" s="7">
        <f t="shared" si="8"/>
        <v>0</v>
      </c>
      <c r="H62" s="7">
        <f t="shared" si="8"/>
        <v>0</v>
      </c>
      <c r="I62" s="7">
        <f t="shared" si="8"/>
        <v>0</v>
      </c>
      <c r="J62" s="7">
        <f>SUM(D62:I62)</f>
        <v>13669.329999999998</v>
      </c>
      <c r="K62" s="1"/>
      <c r="L62" s="1"/>
    </row>
    <row r="63" spans="1:12">
      <c r="A63" s="1"/>
      <c r="B63" s="1"/>
      <c r="C63" s="1"/>
      <c r="D63" s="7"/>
      <c r="E63" s="7"/>
      <c r="F63" s="7"/>
      <c r="G63" s="7"/>
      <c r="H63" s="7"/>
      <c r="I63" s="7"/>
      <c r="J63" s="7"/>
      <c r="K63" s="1"/>
      <c r="L63" s="1"/>
    </row>
    <row r="64" spans="1:12">
      <c r="A64" s="1">
        <v>30</v>
      </c>
      <c r="B64" s="1" t="s">
        <v>23</v>
      </c>
      <c r="C64" s="1" t="s">
        <v>12</v>
      </c>
      <c r="D64" s="7">
        <f>251.11+4409.38</f>
        <v>4660.49</v>
      </c>
      <c r="E64" s="7">
        <v>120.69</v>
      </c>
      <c r="F64" s="7">
        <v>30.02</v>
      </c>
      <c r="G64" s="7">
        <v>31.88</v>
      </c>
      <c r="H64" s="7"/>
      <c r="I64" s="7"/>
      <c r="J64" s="7">
        <f>SUM(D64:I64)</f>
        <v>4843.08</v>
      </c>
      <c r="K64" s="1"/>
      <c r="L64" s="1"/>
    </row>
    <row r="65" spans="1:12">
      <c r="A65" s="1"/>
      <c r="B65" s="1"/>
      <c r="C65" s="1" t="s">
        <v>13</v>
      </c>
      <c r="D65" s="7"/>
      <c r="E65" s="7"/>
      <c r="F65" s="7"/>
      <c r="G65" s="7"/>
      <c r="H65" s="7"/>
      <c r="I65" s="7"/>
      <c r="J65" s="7"/>
      <c r="K65" s="1"/>
      <c r="L65" s="1"/>
    </row>
    <row r="66" spans="1:12">
      <c r="A66" s="1"/>
      <c r="B66" s="1"/>
      <c r="C66" s="1"/>
      <c r="D66" s="7"/>
      <c r="E66" s="7"/>
      <c r="F66" s="7"/>
      <c r="G66" s="7"/>
      <c r="H66" s="7"/>
      <c r="I66" s="7"/>
      <c r="J66" s="7"/>
      <c r="K66" s="1"/>
      <c r="L66" s="1"/>
    </row>
    <row r="67" spans="1:12">
      <c r="A67" s="1"/>
      <c r="B67" s="1"/>
      <c r="C67" s="1" t="s">
        <v>10</v>
      </c>
      <c r="D67" s="7">
        <f t="shared" ref="D67:I67" si="9">SUM(D64:D65)</f>
        <v>4660.49</v>
      </c>
      <c r="E67" s="7">
        <f t="shared" si="9"/>
        <v>120.69</v>
      </c>
      <c r="F67" s="7">
        <f t="shared" si="9"/>
        <v>30.02</v>
      </c>
      <c r="G67" s="7">
        <f t="shared" si="9"/>
        <v>31.88</v>
      </c>
      <c r="H67" s="7">
        <f t="shared" si="9"/>
        <v>0</v>
      </c>
      <c r="I67" s="7">
        <f t="shared" si="9"/>
        <v>0</v>
      </c>
      <c r="J67" s="7">
        <f>SUM(D67:I67)</f>
        <v>4843.08</v>
      </c>
      <c r="K67" s="1"/>
      <c r="L67" s="1"/>
    </row>
    <row r="68" spans="1:12">
      <c r="A68" s="1"/>
      <c r="B68" s="1"/>
      <c r="C68" s="1"/>
      <c r="D68" s="7"/>
      <c r="E68" s="7"/>
      <c r="F68" s="7"/>
      <c r="G68" s="7"/>
      <c r="H68" s="7"/>
      <c r="I68" s="7"/>
      <c r="J68" s="7"/>
      <c r="K68" s="1"/>
      <c r="L68" s="1"/>
    </row>
    <row r="69" spans="1:12">
      <c r="A69" s="1"/>
      <c r="B69" s="1"/>
      <c r="C69" s="1"/>
      <c r="D69" s="7"/>
      <c r="E69" s="7"/>
      <c r="F69" s="7"/>
      <c r="G69" s="7"/>
      <c r="H69" s="7"/>
      <c r="I69" s="7"/>
      <c r="J69" s="7"/>
      <c r="K69" s="1"/>
      <c r="L69" s="1"/>
    </row>
    <row r="70" spans="1:12">
      <c r="A70" s="1">
        <v>31</v>
      </c>
      <c r="B70" s="1" t="s">
        <v>24</v>
      </c>
      <c r="C70" s="1" t="s">
        <v>12</v>
      </c>
      <c r="D70" s="7">
        <f>507.64+1761.37</f>
        <v>2269.0099999999998</v>
      </c>
      <c r="E70" s="7">
        <v>-0.5</v>
      </c>
      <c r="F70" s="7"/>
      <c r="G70" s="7"/>
      <c r="H70" s="7"/>
      <c r="I70" s="7"/>
      <c r="J70" s="7">
        <f>SUM(D70:I70)</f>
        <v>2268.5099999999998</v>
      </c>
      <c r="K70" s="1"/>
      <c r="L70" s="1"/>
    </row>
    <row r="71" spans="1:12">
      <c r="A71" s="1"/>
      <c r="B71" s="1"/>
      <c r="C71" s="1" t="s">
        <v>13</v>
      </c>
      <c r="D71" s="7">
        <f>18.71+65.02</f>
        <v>83.72999999999999</v>
      </c>
      <c r="E71" s="7">
        <v>0.7</v>
      </c>
      <c r="F71" s="7"/>
      <c r="G71" s="7"/>
      <c r="H71" s="7"/>
      <c r="I71" s="7"/>
      <c r="J71" s="7">
        <f>SUM(D71:I71)</f>
        <v>84.429999999999993</v>
      </c>
      <c r="K71" s="1"/>
      <c r="L71" s="1"/>
    </row>
    <row r="72" spans="1:12">
      <c r="A72" s="1"/>
      <c r="B72" s="1"/>
      <c r="C72" s="1"/>
      <c r="D72" s="7"/>
      <c r="E72" s="7"/>
      <c r="F72" s="7"/>
      <c r="G72" s="7"/>
      <c r="H72" s="7"/>
      <c r="I72" s="7"/>
      <c r="J72" s="7"/>
      <c r="K72" s="1"/>
      <c r="L72" s="1"/>
    </row>
    <row r="73" spans="1:12">
      <c r="A73" s="1"/>
      <c r="B73" s="1"/>
      <c r="C73" s="1" t="s">
        <v>10</v>
      </c>
      <c r="D73" s="7">
        <f t="shared" ref="D73:I73" si="10">SUM(D70:D71)</f>
        <v>2352.7399999999998</v>
      </c>
      <c r="E73" s="7">
        <f t="shared" si="10"/>
        <v>0.19999999999999996</v>
      </c>
      <c r="F73" s="7">
        <f t="shared" si="10"/>
        <v>0</v>
      </c>
      <c r="G73" s="7">
        <f t="shared" si="10"/>
        <v>0</v>
      </c>
      <c r="H73" s="7">
        <f t="shared" si="10"/>
        <v>0</v>
      </c>
      <c r="I73" s="7">
        <f t="shared" si="10"/>
        <v>0</v>
      </c>
      <c r="J73" s="7">
        <f>SUM(D73:I73)</f>
        <v>2352.9399999999996</v>
      </c>
      <c r="K73" s="1"/>
      <c r="L73" s="1"/>
    </row>
    <row r="74" spans="1:12">
      <c r="A74" s="1"/>
      <c r="B74" s="1"/>
      <c r="C74" s="1"/>
      <c r="D74" s="7"/>
      <c r="E74" s="7"/>
      <c r="F74" s="7"/>
      <c r="G74" s="7"/>
      <c r="H74" s="7"/>
      <c r="I74" s="7"/>
      <c r="J74" s="7"/>
      <c r="K74" s="1"/>
      <c r="L74" s="1"/>
    </row>
    <row r="75" spans="1:12">
      <c r="A75" s="1"/>
      <c r="B75" s="1"/>
      <c r="C75" s="1"/>
      <c r="D75" s="7"/>
      <c r="E75" s="7"/>
      <c r="F75" s="7"/>
      <c r="G75" s="7"/>
      <c r="H75" s="7"/>
      <c r="I75" s="7"/>
      <c r="J75" s="7"/>
      <c r="K75" s="1"/>
      <c r="L75" s="1"/>
    </row>
    <row r="76" spans="1:12">
      <c r="A76" s="1">
        <v>32</v>
      </c>
      <c r="B76" s="1" t="s">
        <v>25</v>
      </c>
      <c r="C76" s="1" t="s">
        <v>12</v>
      </c>
      <c r="D76" s="7">
        <f>239.31+7616.92</f>
        <v>7856.2300000000005</v>
      </c>
      <c r="E76" s="7">
        <v>212.99</v>
      </c>
      <c r="F76" s="7">
        <v>179.28</v>
      </c>
      <c r="G76" s="7">
        <v>173.19</v>
      </c>
      <c r="H76" s="7"/>
      <c r="I76" s="7"/>
      <c r="J76" s="7">
        <f>SUM(D76:I76)</f>
        <v>8421.69</v>
      </c>
      <c r="K76" s="1"/>
      <c r="L76" s="1"/>
    </row>
    <row r="77" spans="1:12">
      <c r="A77" s="1"/>
      <c r="B77" s="1"/>
      <c r="C77" s="1" t="s">
        <v>13</v>
      </c>
      <c r="D77" s="7">
        <f>9.58+304.55</f>
        <v>314.13</v>
      </c>
      <c r="E77" s="7">
        <v>9.15</v>
      </c>
      <c r="F77" s="7">
        <v>4.3899999999999997</v>
      </c>
      <c r="G77" s="7">
        <v>4.16</v>
      </c>
      <c r="H77" s="7"/>
      <c r="I77" s="7"/>
      <c r="J77" s="7">
        <f>SUM(D77:I77)</f>
        <v>331.83</v>
      </c>
      <c r="K77" s="1"/>
      <c r="L77" s="1"/>
    </row>
    <row r="78" spans="1:12">
      <c r="A78" s="1"/>
      <c r="B78" s="1"/>
      <c r="C78" s="1" t="s">
        <v>73</v>
      </c>
      <c r="D78" s="1">
        <f>829.43+26.05</f>
        <v>855.4799999999999</v>
      </c>
      <c r="E78" s="1">
        <v>22.08</v>
      </c>
      <c r="F78" s="1">
        <v>18.559999999999999</v>
      </c>
      <c r="G78" s="1">
        <v>18.29</v>
      </c>
      <c r="H78" s="1"/>
      <c r="I78" s="1"/>
      <c r="J78" s="7">
        <f>SUM(D78:I78)</f>
        <v>914.40999999999985</v>
      </c>
      <c r="K78" s="1"/>
      <c r="L78" s="1"/>
    </row>
    <row r="79" spans="1:12">
      <c r="A79" s="1"/>
      <c r="B79" s="1"/>
      <c r="C79" s="1" t="s">
        <v>78</v>
      </c>
      <c r="D79" s="1">
        <f>39.1+1244.22</f>
        <v>1283.32</v>
      </c>
      <c r="E79" s="1">
        <v>33.67</v>
      </c>
      <c r="F79" s="1">
        <v>27.81</v>
      </c>
      <c r="G79" s="1">
        <v>27.47</v>
      </c>
      <c r="H79" s="1"/>
      <c r="I79" s="1"/>
      <c r="J79" s="7">
        <f>SUM(D79:I79)</f>
        <v>1372.27</v>
      </c>
      <c r="K79" s="1"/>
      <c r="L79" s="1"/>
    </row>
    <row r="80" spans="1:12">
      <c r="A80" s="1"/>
      <c r="B80" s="1"/>
      <c r="C80" s="1"/>
      <c r="D80" s="1"/>
      <c r="E80" s="1"/>
      <c r="F80" s="1"/>
      <c r="G80" s="1"/>
      <c r="H80" s="1"/>
      <c r="I80" s="1"/>
      <c r="J80" s="7"/>
      <c r="K80" s="1"/>
      <c r="L80" s="1"/>
    </row>
    <row r="81" spans="1:12">
      <c r="A81" s="1"/>
      <c r="B81" s="1"/>
      <c r="C81" s="1" t="s">
        <v>10</v>
      </c>
      <c r="D81" s="7">
        <f t="shared" ref="D81:I81" si="11">SUM(D76:D79)</f>
        <v>10309.16</v>
      </c>
      <c r="E81" s="7">
        <f t="shared" si="11"/>
        <v>277.89000000000004</v>
      </c>
      <c r="F81" s="7">
        <f t="shared" si="11"/>
        <v>230.04</v>
      </c>
      <c r="G81" s="7">
        <f t="shared" si="11"/>
        <v>223.10999999999999</v>
      </c>
      <c r="H81" s="7">
        <f t="shared" si="11"/>
        <v>0</v>
      </c>
      <c r="I81" s="7">
        <f t="shared" si="11"/>
        <v>0</v>
      </c>
      <c r="J81" s="7">
        <f>SUM(D81:I81)</f>
        <v>11040.2</v>
      </c>
      <c r="K81" s="1"/>
      <c r="L81" s="1"/>
    </row>
    <row r="82" spans="1:12">
      <c r="A82" s="1"/>
      <c r="B82" s="1"/>
      <c r="C82" s="1"/>
      <c r="D82" s="7"/>
      <c r="E82" s="7"/>
      <c r="F82" s="7"/>
      <c r="G82" s="7"/>
      <c r="H82" s="7"/>
      <c r="I82" s="7"/>
      <c r="J82" s="7"/>
      <c r="K82" s="1"/>
      <c r="L82" s="1"/>
    </row>
    <row r="83" spans="1:12">
      <c r="A83" s="1"/>
      <c r="B83" s="1"/>
      <c r="C83" s="1"/>
      <c r="D83" s="7"/>
      <c r="E83" s="7"/>
      <c r="F83" s="7"/>
      <c r="G83" s="7"/>
      <c r="H83" s="7"/>
      <c r="I83" s="7"/>
      <c r="J83" s="7"/>
      <c r="K83" s="1"/>
      <c r="L83" s="1"/>
    </row>
    <row r="84" spans="1:12">
      <c r="A84" s="1">
        <v>33</v>
      </c>
      <c r="B84" s="1" t="s">
        <v>26</v>
      </c>
      <c r="C84" s="1" t="s">
        <v>12</v>
      </c>
      <c r="D84" s="7">
        <v>8481.69</v>
      </c>
      <c r="E84" s="7">
        <v>327.16000000000003</v>
      </c>
      <c r="F84" s="7">
        <v>237.92</v>
      </c>
      <c r="G84" s="7">
        <v>21.25</v>
      </c>
      <c r="H84" s="7"/>
      <c r="I84" s="7"/>
      <c r="J84" s="7">
        <f>SUM(D84:I84)</f>
        <v>9068.02</v>
      </c>
      <c r="K84" s="1"/>
      <c r="L84" s="1"/>
    </row>
    <row r="85" spans="1:12">
      <c r="A85" s="1"/>
      <c r="B85" s="1"/>
      <c r="C85" s="1" t="s">
        <v>13</v>
      </c>
      <c r="D85" s="7">
        <v>121.33</v>
      </c>
      <c r="E85" s="7">
        <v>4.55</v>
      </c>
      <c r="F85" s="7">
        <v>3.34</v>
      </c>
      <c r="G85" s="7">
        <v>0.23</v>
      </c>
      <c r="H85" s="7"/>
      <c r="I85" s="7"/>
      <c r="J85" s="7">
        <f>SUM(D85:I85)</f>
        <v>129.44999999999999</v>
      </c>
      <c r="K85" s="1"/>
      <c r="L85" s="1"/>
    </row>
    <row r="86" spans="1:12">
      <c r="A86" s="1"/>
      <c r="B86" s="1"/>
      <c r="C86" s="1"/>
      <c r="D86" s="7"/>
      <c r="E86" s="7"/>
      <c r="F86" s="7"/>
      <c r="G86" s="7"/>
      <c r="H86" s="7"/>
      <c r="I86" s="7"/>
      <c r="J86" s="7"/>
      <c r="K86" s="1"/>
      <c r="L86" s="1"/>
    </row>
    <row r="87" spans="1:12">
      <c r="A87" s="1"/>
      <c r="B87" s="1"/>
      <c r="C87" s="1" t="s">
        <v>10</v>
      </c>
      <c r="D87" s="7">
        <f t="shared" ref="D87:I87" si="12">SUM(D84:D85)</f>
        <v>8603.02</v>
      </c>
      <c r="E87" s="7">
        <f t="shared" si="12"/>
        <v>331.71000000000004</v>
      </c>
      <c r="F87" s="7">
        <f t="shared" si="12"/>
        <v>241.26</v>
      </c>
      <c r="G87" s="7">
        <f t="shared" si="12"/>
        <v>21.48</v>
      </c>
      <c r="H87" s="7">
        <f t="shared" si="12"/>
        <v>0</v>
      </c>
      <c r="I87" s="7">
        <f t="shared" si="12"/>
        <v>0</v>
      </c>
      <c r="J87" s="7">
        <f>SUM(D87:I87)</f>
        <v>9197.4699999999993</v>
      </c>
      <c r="K87" s="1"/>
      <c r="L87" s="1"/>
    </row>
    <row r="88" spans="1:12">
      <c r="A88" s="1"/>
      <c r="B88" s="1"/>
      <c r="C88" s="1"/>
      <c r="D88" s="7"/>
      <c r="E88" s="7"/>
      <c r="F88" s="7"/>
      <c r="G88" s="7"/>
      <c r="H88" s="7"/>
      <c r="I88" s="7"/>
      <c r="J88" s="7"/>
      <c r="K88" s="1"/>
      <c r="L88" s="1"/>
    </row>
    <row r="89" spans="1:12">
      <c r="A89" s="1"/>
      <c r="B89" s="1"/>
      <c r="C89" s="1"/>
      <c r="D89" s="7"/>
      <c r="E89" s="7"/>
      <c r="F89" s="7"/>
      <c r="G89" s="7"/>
      <c r="H89" s="7"/>
      <c r="I89" s="7"/>
      <c r="J89" s="7"/>
      <c r="K89" s="1"/>
      <c r="L89" s="1"/>
    </row>
    <row r="90" spans="1:12">
      <c r="A90" s="1">
        <v>34</v>
      </c>
      <c r="B90" s="1" t="s">
        <v>27</v>
      </c>
      <c r="C90" s="1" t="s">
        <v>12</v>
      </c>
      <c r="D90" s="7">
        <f>644.18+6715.73</f>
        <v>7359.91</v>
      </c>
      <c r="E90" s="7">
        <v>89.72</v>
      </c>
      <c r="F90" s="7">
        <v>0</v>
      </c>
      <c r="G90" s="7"/>
      <c r="H90" s="7"/>
      <c r="I90" s="7"/>
      <c r="J90" s="7">
        <f>SUM(D90:I90)</f>
        <v>7449.63</v>
      </c>
      <c r="K90" s="1"/>
      <c r="L90" s="1"/>
    </row>
    <row r="91" spans="1:12">
      <c r="A91" s="1"/>
      <c r="B91" s="1"/>
      <c r="C91" s="1" t="s">
        <v>13</v>
      </c>
      <c r="D91" s="7">
        <f>555.81+53.33</f>
        <v>609.14</v>
      </c>
      <c r="E91" s="7">
        <v>7.14</v>
      </c>
      <c r="F91" s="7">
        <v>0</v>
      </c>
      <c r="G91" s="7"/>
      <c r="H91" s="7"/>
      <c r="I91" s="7"/>
      <c r="J91" s="7">
        <f>SUM(D91:I91)</f>
        <v>616.28</v>
      </c>
      <c r="K91" s="1"/>
      <c r="L91" s="1"/>
    </row>
    <row r="92" spans="1:12">
      <c r="A92" s="1"/>
      <c r="B92" s="1"/>
      <c r="C92" s="1" t="s">
        <v>78</v>
      </c>
      <c r="D92" s="7">
        <f>104.46+1089.31</f>
        <v>1193.77</v>
      </c>
      <c r="E92" s="7">
        <v>9.7799999999999994</v>
      </c>
      <c r="F92" s="7"/>
      <c r="G92" s="7"/>
      <c r="H92" s="7"/>
      <c r="I92" s="7"/>
      <c r="J92" s="7">
        <f>SUM(D92:I92)</f>
        <v>1203.55</v>
      </c>
      <c r="K92" s="1"/>
      <c r="L92" s="1"/>
    </row>
    <row r="93" spans="1:12">
      <c r="A93" s="1"/>
      <c r="B93" s="1"/>
      <c r="C93" s="1"/>
      <c r="D93" s="7"/>
      <c r="E93" s="7"/>
      <c r="F93" s="7"/>
      <c r="G93" s="7"/>
      <c r="H93" s="7"/>
      <c r="I93" s="7"/>
      <c r="J93" s="7"/>
      <c r="K93" s="1"/>
      <c r="L93" s="1"/>
    </row>
    <row r="94" spans="1:12">
      <c r="A94" s="1"/>
      <c r="B94" s="1"/>
      <c r="C94" s="1" t="s">
        <v>10</v>
      </c>
      <c r="D94" s="7">
        <f t="shared" ref="D94:I94" si="13">SUM(D90:D93)</f>
        <v>9162.82</v>
      </c>
      <c r="E94" s="7">
        <f t="shared" si="13"/>
        <v>106.64</v>
      </c>
      <c r="F94" s="7">
        <f t="shared" si="13"/>
        <v>0</v>
      </c>
      <c r="G94" s="7">
        <f t="shared" si="13"/>
        <v>0</v>
      </c>
      <c r="H94" s="7">
        <f t="shared" si="13"/>
        <v>0</v>
      </c>
      <c r="I94" s="7">
        <f t="shared" si="13"/>
        <v>0</v>
      </c>
      <c r="J94" s="7">
        <f>SUM(D94:I94)</f>
        <v>9269.4599999999991</v>
      </c>
      <c r="K94" s="1"/>
      <c r="L94" s="1"/>
    </row>
    <row r="95" spans="1:12">
      <c r="A95" s="1"/>
      <c r="B95" s="1"/>
      <c r="C95" s="1"/>
      <c r="D95" s="7"/>
      <c r="E95" s="7"/>
      <c r="F95" s="7"/>
      <c r="G95" s="7"/>
      <c r="H95" s="7"/>
      <c r="I95" s="7"/>
      <c r="J95" s="7"/>
      <c r="K95" s="1"/>
      <c r="L95" s="1"/>
    </row>
    <row r="96" spans="1:12">
      <c r="A96" s="1"/>
      <c r="B96" s="1"/>
      <c r="C96" s="1"/>
      <c r="D96" s="7"/>
      <c r="E96" s="7"/>
      <c r="F96" s="7"/>
      <c r="G96" s="7"/>
      <c r="H96" s="7"/>
      <c r="I96" s="7"/>
      <c r="J96" s="7"/>
      <c r="K96" s="1"/>
      <c r="L96" s="1"/>
    </row>
    <row r="97" spans="1:12">
      <c r="A97" s="1">
        <v>35</v>
      </c>
      <c r="B97" s="1" t="s">
        <v>28</v>
      </c>
      <c r="C97" s="1" t="s">
        <v>12</v>
      </c>
      <c r="D97" s="7">
        <f>273.35+5922.58</f>
        <v>6195.93</v>
      </c>
      <c r="E97" s="7">
        <v>215.22</v>
      </c>
      <c r="F97" s="7">
        <v>183.92</v>
      </c>
      <c r="G97" s="7">
        <v>24.87</v>
      </c>
      <c r="H97" s="7">
        <v>10.08</v>
      </c>
      <c r="I97" s="7"/>
      <c r="J97" s="7">
        <f>SUM(D97:I97)</f>
        <v>6630.02</v>
      </c>
      <c r="K97" s="1"/>
      <c r="L97" s="1"/>
    </row>
    <row r="98" spans="1:12">
      <c r="A98" s="1"/>
      <c r="B98" s="1"/>
      <c r="C98" s="1"/>
      <c r="D98" s="7"/>
      <c r="E98" s="7"/>
      <c r="F98" s="7"/>
      <c r="G98" s="7"/>
      <c r="H98" s="7" t="s">
        <v>70</v>
      </c>
      <c r="I98" s="7" t="s">
        <v>70</v>
      </c>
      <c r="J98" s="7"/>
      <c r="K98" s="1"/>
      <c r="L98" s="1"/>
    </row>
    <row r="99" spans="1:12">
      <c r="A99" s="1"/>
      <c r="B99" s="1"/>
      <c r="C99" s="1" t="s">
        <v>10</v>
      </c>
      <c r="D99" s="7">
        <f t="shared" ref="D99:I99" si="14">SUM(D97:D98)</f>
        <v>6195.93</v>
      </c>
      <c r="E99" s="7">
        <f t="shared" si="14"/>
        <v>215.22</v>
      </c>
      <c r="F99" s="7">
        <f t="shared" si="14"/>
        <v>183.92</v>
      </c>
      <c r="G99" s="7">
        <f t="shared" si="14"/>
        <v>24.87</v>
      </c>
      <c r="H99" s="7">
        <f t="shared" si="14"/>
        <v>10.08</v>
      </c>
      <c r="I99" s="7">
        <f t="shared" si="14"/>
        <v>0</v>
      </c>
      <c r="J99" s="7">
        <f>SUM(D99:I99)</f>
        <v>6630.02</v>
      </c>
      <c r="K99" s="1"/>
      <c r="L99" s="1"/>
    </row>
    <row r="100" spans="1:12">
      <c r="A100" s="1"/>
      <c r="B100" s="1"/>
      <c r="C100" s="1"/>
      <c r="D100" s="7"/>
      <c r="E100" s="7"/>
      <c r="F100" s="7"/>
      <c r="G100" s="7"/>
      <c r="H100" s="7"/>
      <c r="I100" s="7"/>
      <c r="J100" s="7"/>
      <c r="K100" s="1"/>
      <c r="L100" s="1"/>
    </row>
    <row r="101" spans="1:12">
      <c r="A101" s="1"/>
      <c r="B101" s="1"/>
      <c r="C101" s="1"/>
      <c r="D101" s="7"/>
      <c r="E101" s="7"/>
      <c r="F101" s="7"/>
      <c r="G101" s="7"/>
      <c r="H101" s="7"/>
      <c r="I101" s="7"/>
      <c r="J101" s="7"/>
      <c r="K101" s="1"/>
      <c r="L101" s="1"/>
    </row>
    <row r="102" spans="1:12">
      <c r="A102" s="1">
        <v>36</v>
      </c>
      <c r="B102" s="1" t="s">
        <v>29</v>
      </c>
      <c r="C102" s="1" t="s">
        <v>12</v>
      </c>
      <c r="D102" s="7">
        <f>533.13+5841.35</f>
        <v>6374.4800000000005</v>
      </c>
      <c r="E102" s="7">
        <v>300.02</v>
      </c>
      <c r="F102" s="7">
        <v>18.920000000000002</v>
      </c>
      <c r="G102" s="7"/>
      <c r="H102" s="7"/>
      <c r="I102" s="7"/>
      <c r="J102" s="7">
        <f>SUM(D102:I102)</f>
        <v>6693.42</v>
      </c>
      <c r="K102" s="1"/>
      <c r="L102" s="1"/>
    </row>
    <row r="103" spans="1:12">
      <c r="A103" s="1"/>
      <c r="B103" s="1"/>
      <c r="C103" s="1" t="s">
        <v>13</v>
      </c>
      <c r="D103" s="7">
        <f>370.69+33.84</f>
        <v>404.53</v>
      </c>
      <c r="E103" s="7">
        <v>18.29</v>
      </c>
      <c r="F103" s="7">
        <v>1.07</v>
      </c>
      <c r="G103" s="7"/>
      <c r="H103" s="7"/>
      <c r="I103" s="7"/>
      <c r="J103" s="7">
        <f>SUM(D103:I103)</f>
        <v>423.89</v>
      </c>
      <c r="K103" s="1"/>
      <c r="L103" s="1"/>
    </row>
    <row r="104" spans="1:12">
      <c r="A104" s="1"/>
      <c r="B104" s="1"/>
      <c r="C104" s="1"/>
      <c r="D104" s="7"/>
      <c r="E104" s="7"/>
      <c r="F104" s="7"/>
      <c r="G104" s="7"/>
      <c r="H104" s="7"/>
      <c r="I104" s="7"/>
      <c r="J104" s="7"/>
      <c r="K104" s="1"/>
      <c r="L104" s="1"/>
    </row>
    <row r="105" spans="1:12">
      <c r="A105" s="1"/>
      <c r="B105" s="1"/>
      <c r="C105" s="1" t="s">
        <v>10</v>
      </c>
      <c r="D105" s="7">
        <f t="shared" ref="D105:I105" si="15">SUM(D102:D103)</f>
        <v>6779.01</v>
      </c>
      <c r="E105" s="7">
        <f t="shared" si="15"/>
        <v>318.31</v>
      </c>
      <c r="F105" s="7">
        <f t="shared" si="15"/>
        <v>19.990000000000002</v>
      </c>
      <c r="G105" s="7">
        <f t="shared" si="15"/>
        <v>0</v>
      </c>
      <c r="H105" s="7">
        <f t="shared" si="15"/>
        <v>0</v>
      </c>
      <c r="I105" s="7">
        <f t="shared" si="15"/>
        <v>0</v>
      </c>
      <c r="J105" s="7">
        <f>SUM(D105:I105)</f>
        <v>7117.31</v>
      </c>
      <c r="K105" s="1"/>
      <c r="L105" s="1"/>
    </row>
    <row r="106" spans="1:12">
      <c r="A106" s="1"/>
      <c r="B106" s="1"/>
      <c r="C106" s="1"/>
      <c r="D106" s="7"/>
      <c r="E106" s="7"/>
      <c r="F106" s="7"/>
      <c r="G106" s="7"/>
      <c r="H106" s="7"/>
      <c r="I106" s="7"/>
      <c r="J106" s="7"/>
      <c r="K106" s="1"/>
      <c r="L106" s="1"/>
    </row>
    <row r="107" spans="1:12">
      <c r="A107" s="1"/>
      <c r="B107" s="1"/>
      <c r="C107" s="1"/>
      <c r="D107" s="7"/>
      <c r="E107" s="7"/>
      <c r="F107" s="7"/>
      <c r="G107" s="7"/>
      <c r="H107" s="7"/>
      <c r="I107" s="7"/>
      <c r="J107" s="7"/>
      <c r="K107" s="1"/>
      <c r="L107" s="1"/>
    </row>
    <row r="108" spans="1:12">
      <c r="A108" s="1">
        <v>37</v>
      </c>
      <c r="B108" s="1" t="s">
        <v>30</v>
      </c>
      <c r="C108" s="1" t="s">
        <v>12</v>
      </c>
      <c r="D108" s="7">
        <f>220.79+7281.86</f>
        <v>7502.65</v>
      </c>
      <c r="E108" s="7">
        <v>147.51</v>
      </c>
      <c r="F108" s="7">
        <v>28.35</v>
      </c>
      <c r="G108" s="7">
        <v>28.02</v>
      </c>
      <c r="H108" s="7">
        <v>13.19</v>
      </c>
      <c r="I108" s="7"/>
      <c r="J108" s="7">
        <f>SUM(D108:I108)</f>
        <v>7719.72</v>
      </c>
      <c r="K108" s="1"/>
      <c r="L108" s="1"/>
    </row>
    <row r="109" spans="1:12">
      <c r="A109" s="1"/>
      <c r="B109" s="1"/>
      <c r="C109" s="1"/>
      <c r="D109" s="7"/>
      <c r="E109" s="7"/>
      <c r="F109" s="7"/>
      <c r="G109" s="7"/>
      <c r="H109" s="7"/>
      <c r="I109" s="7"/>
      <c r="J109" s="7"/>
      <c r="K109" s="1"/>
      <c r="L109" s="1"/>
    </row>
    <row r="110" spans="1:12">
      <c r="A110" s="1"/>
      <c r="B110" s="1"/>
      <c r="C110" s="1" t="s">
        <v>10</v>
      </c>
      <c r="D110" s="7">
        <f t="shared" ref="D110:I110" si="16">SUM(D108:D109)</f>
        <v>7502.65</v>
      </c>
      <c r="E110" s="7">
        <f t="shared" si="16"/>
        <v>147.51</v>
      </c>
      <c r="F110" s="7">
        <f t="shared" si="16"/>
        <v>28.35</v>
      </c>
      <c r="G110" s="7">
        <f t="shared" si="16"/>
        <v>28.02</v>
      </c>
      <c r="H110" s="7">
        <f t="shared" si="16"/>
        <v>13.19</v>
      </c>
      <c r="I110" s="7">
        <f t="shared" si="16"/>
        <v>0</v>
      </c>
      <c r="J110" s="7">
        <f>SUM(D110:I110)</f>
        <v>7719.72</v>
      </c>
      <c r="K110" s="1"/>
      <c r="L110" s="1"/>
    </row>
    <row r="111" spans="1:12">
      <c r="A111" s="1"/>
      <c r="B111" s="1"/>
      <c r="C111" s="1"/>
      <c r="D111" s="7"/>
      <c r="E111" s="7"/>
      <c r="F111" s="7"/>
      <c r="G111" s="7"/>
      <c r="H111" s="7" t="s">
        <v>70</v>
      </c>
      <c r="I111" s="7" t="s">
        <v>70</v>
      </c>
      <c r="J111" s="7"/>
      <c r="K111" s="1"/>
      <c r="L111" s="1"/>
    </row>
    <row r="112" spans="1:12">
      <c r="A112" s="1"/>
      <c r="B112" s="1"/>
      <c r="C112" s="1"/>
      <c r="D112" s="7"/>
      <c r="E112" s="7"/>
      <c r="F112" s="7"/>
      <c r="G112" s="7"/>
      <c r="H112" s="7"/>
      <c r="I112" s="7"/>
      <c r="J112" s="7"/>
      <c r="K112" s="1"/>
      <c r="L112" s="1"/>
    </row>
    <row r="113" spans="1:12">
      <c r="A113" s="1">
        <v>38</v>
      </c>
      <c r="B113" s="1" t="s">
        <v>31</v>
      </c>
      <c r="C113" s="1" t="s">
        <v>12</v>
      </c>
      <c r="D113" s="7">
        <f>55.9+9276.47</f>
        <v>9332.369999999999</v>
      </c>
      <c r="E113" s="7">
        <v>268.61</v>
      </c>
      <c r="F113" s="7">
        <v>256.45</v>
      </c>
      <c r="G113" s="7">
        <v>251.07</v>
      </c>
      <c r="H113" s="7">
        <v>229.85</v>
      </c>
      <c r="I113" s="7"/>
      <c r="J113" s="7">
        <f>SUM(D113:I113)</f>
        <v>10338.35</v>
      </c>
      <c r="K113" s="1"/>
      <c r="L113" s="1"/>
    </row>
    <row r="114" spans="1:12">
      <c r="A114" s="1"/>
      <c r="B114" s="1"/>
      <c r="C114" s="1" t="s">
        <v>13</v>
      </c>
      <c r="D114" s="7">
        <f>801.95+4.83</f>
        <v>806.78000000000009</v>
      </c>
      <c r="E114" s="7">
        <v>23.39</v>
      </c>
      <c r="F114" s="7">
        <v>21</v>
      </c>
      <c r="G114" s="7">
        <v>20.64</v>
      </c>
      <c r="H114" s="7">
        <v>20.36</v>
      </c>
      <c r="I114" s="7"/>
      <c r="J114" s="7">
        <f>SUM(D114:I114)</f>
        <v>892.17000000000007</v>
      </c>
      <c r="K114" s="1"/>
      <c r="L114" s="1"/>
    </row>
    <row r="115" spans="1:12">
      <c r="A115" s="1"/>
      <c r="B115" s="1"/>
      <c r="C115" s="1" t="s">
        <v>78</v>
      </c>
      <c r="D115" s="7">
        <f>9.17+1522.45</f>
        <v>1531.6200000000001</v>
      </c>
      <c r="E115" s="7">
        <v>44.16</v>
      </c>
      <c r="F115" s="7">
        <v>41.93</v>
      </c>
      <c r="G115" s="7"/>
      <c r="H115" s="7"/>
      <c r="I115" s="7"/>
      <c r="J115" s="7">
        <f>SUM(D115:I115)</f>
        <v>1617.7100000000003</v>
      </c>
      <c r="K115" s="1"/>
      <c r="L115" s="1"/>
    </row>
    <row r="116" spans="1:12">
      <c r="A116" s="1"/>
      <c r="B116" s="1"/>
      <c r="C116" s="1"/>
      <c r="D116" s="7"/>
      <c r="E116" s="7"/>
      <c r="F116" s="7"/>
      <c r="G116" s="7"/>
      <c r="H116" s="7"/>
      <c r="I116" s="7"/>
      <c r="J116" s="7"/>
      <c r="K116" s="1"/>
      <c r="L116" s="1"/>
    </row>
    <row r="117" spans="1:12">
      <c r="A117" s="1"/>
      <c r="B117" s="1"/>
      <c r="C117" s="1" t="s">
        <v>10</v>
      </c>
      <c r="D117" s="7">
        <f t="shared" ref="D117:I117" si="17">SUM(D113:D115)</f>
        <v>11670.77</v>
      </c>
      <c r="E117" s="7">
        <f t="shared" si="17"/>
        <v>336.15999999999997</v>
      </c>
      <c r="F117" s="7">
        <f t="shared" si="17"/>
        <v>319.38</v>
      </c>
      <c r="G117" s="7">
        <f t="shared" si="17"/>
        <v>271.70999999999998</v>
      </c>
      <c r="H117" s="7">
        <f t="shared" si="17"/>
        <v>250.20999999999998</v>
      </c>
      <c r="I117" s="7">
        <f t="shared" si="17"/>
        <v>0</v>
      </c>
      <c r="J117" s="7">
        <f>SUM(D117:I117)</f>
        <v>12848.229999999998</v>
      </c>
      <c r="K117" s="1"/>
      <c r="L117" s="1"/>
    </row>
    <row r="118" spans="1:12">
      <c r="A118" s="1"/>
      <c r="B118" s="1"/>
      <c r="C118" s="1"/>
      <c r="D118" s="7"/>
      <c r="E118" s="7"/>
      <c r="F118" s="7"/>
      <c r="G118" s="7"/>
      <c r="H118" s="7"/>
      <c r="I118" s="7"/>
      <c r="J118" s="7"/>
      <c r="K118" s="1"/>
      <c r="L118" s="1"/>
    </row>
    <row r="119" spans="1:12">
      <c r="A119" s="1">
        <v>39</v>
      </c>
      <c r="B119" s="1" t="s">
        <v>32</v>
      </c>
      <c r="C119" s="1" t="s">
        <v>12</v>
      </c>
      <c r="D119" s="7">
        <v>0</v>
      </c>
      <c r="E119" s="7">
        <v>0</v>
      </c>
      <c r="F119" s="7"/>
      <c r="G119" s="7"/>
      <c r="H119" s="7"/>
      <c r="I119" s="7"/>
      <c r="J119" s="7"/>
      <c r="K119" s="1"/>
      <c r="L119" s="1"/>
    </row>
    <row r="120" spans="1:12">
      <c r="A120" s="1"/>
      <c r="B120" s="1"/>
      <c r="C120" s="1"/>
      <c r="D120" s="7"/>
      <c r="E120" s="7"/>
      <c r="F120" s="7"/>
      <c r="G120" s="7"/>
      <c r="H120" s="7"/>
      <c r="I120" s="7"/>
      <c r="J120" s="7"/>
      <c r="K120" s="1"/>
      <c r="L120" s="1"/>
    </row>
    <row r="121" spans="1:12">
      <c r="A121" s="1"/>
      <c r="B121" s="1"/>
      <c r="C121" s="1" t="s">
        <v>10</v>
      </c>
      <c r="D121" s="7"/>
      <c r="E121" s="7"/>
      <c r="F121" s="7"/>
      <c r="G121" s="7"/>
      <c r="H121" s="7"/>
      <c r="I121" s="7"/>
      <c r="J121" s="7"/>
      <c r="K121" s="1"/>
      <c r="L121" s="1"/>
    </row>
    <row r="122" spans="1:12">
      <c r="A122" s="1"/>
      <c r="B122" s="1"/>
      <c r="C122" s="1"/>
      <c r="D122" s="7"/>
      <c r="E122" s="7"/>
      <c r="F122" s="7"/>
      <c r="G122" s="7"/>
      <c r="H122" s="7"/>
      <c r="I122" s="7"/>
      <c r="J122" s="7"/>
      <c r="K122" s="1"/>
      <c r="L122" s="1"/>
    </row>
    <row r="123" spans="1:12">
      <c r="A123" s="1"/>
      <c r="B123" s="1"/>
      <c r="C123" s="1"/>
      <c r="D123" s="7"/>
      <c r="E123" s="7"/>
      <c r="F123" s="7"/>
      <c r="G123" s="7"/>
      <c r="H123" s="7"/>
      <c r="I123" s="7"/>
      <c r="J123" s="7"/>
      <c r="K123" s="1"/>
      <c r="L123" s="1"/>
    </row>
    <row r="124" spans="1:12">
      <c r="A124" s="1">
        <v>40</v>
      </c>
      <c r="B124" s="1" t="s">
        <v>33</v>
      </c>
      <c r="C124" s="1" t="s">
        <v>12</v>
      </c>
      <c r="D124" s="7">
        <v>7956.9</v>
      </c>
      <c r="E124" s="7">
        <v>473.82</v>
      </c>
      <c r="F124" s="7">
        <v>257.58</v>
      </c>
      <c r="G124" s="7">
        <v>243.12</v>
      </c>
      <c r="H124" s="7"/>
      <c r="I124" s="7"/>
      <c r="J124" s="7">
        <f>SUM(D124:I124)</f>
        <v>8931.42</v>
      </c>
      <c r="K124" s="1"/>
      <c r="L124" s="1"/>
    </row>
    <row r="125" spans="1:12">
      <c r="A125" s="1"/>
      <c r="B125" s="1"/>
      <c r="C125" s="1"/>
      <c r="D125" s="7"/>
      <c r="E125" s="7"/>
      <c r="F125" s="7"/>
      <c r="G125" s="7"/>
      <c r="H125" s="7"/>
      <c r="I125" s="7"/>
      <c r="J125" s="7"/>
      <c r="K125" s="1"/>
      <c r="L125" s="1"/>
    </row>
    <row r="126" spans="1:12">
      <c r="A126" s="1"/>
      <c r="B126" s="1"/>
      <c r="C126" s="1" t="s">
        <v>10</v>
      </c>
      <c r="D126" s="7">
        <f t="shared" ref="D126:I126" si="18">SUM(D124:D125)</f>
        <v>7956.9</v>
      </c>
      <c r="E126" s="7">
        <f t="shared" si="18"/>
        <v>473.82</v>
      </c>
      <c r="F126" s="7">
        <f t="shared" si="18"/>
        <v>257.58</v>
      </c>
      <c r="G126" s="7">
        <f t="shared" si="18"/>
        <v>243.12</v>
      </c>
      <c r="H126" s="7">
        <f t="shared" si="18"/>
        <v>0</v>
      </c>
      <c r="I126" s="7">
        <f t="shared" si="18"/>
        <v>0</v>
      </c>
      <c r="J126" s="7">
        <f>SUM(D126:I126)</f>
        <v>8931.42</v>
      </c>
      <c r="K126" s="1"/>
      <c r="L126" s="1"/>
    </row>
    <row r="127" spans="1:12">
      <c r="A127" s="1"/>
      <c r="B127" s="1"/>
      <c r="C127" s="1"/>
      <c r="D127" s="7"/>
      <c r="E127" s="7"/>
      <c r="F127" s="7"/>
      <c r="G127" s="7"/>
      <c r="H127" s="7"/>
      <c r="I127" s="7"/>
      <c r="J127" s="7"/>
      <c r="K127" s="1"/>
      <c r="L127" s="1"/>
    </row>
    <row r="128" spans="1:12">
      <c r="A128" s="1"/>
      <c r="B128" s="1"/>
      <c r="C128" s="1"/>
      <c r="D128" s="7"/>
      <c r="E128" s="7"/>
      <c r="F128" s="7"/>
      <c r="G128" s="7"/>
      <c r="H128" s="7"/>
      <c r="I128" s="7"/>
      <c r="J128" s="7"/>
      <c r="K128" s="1"/>
      <c r="L128" s="1"/>
    </row>
    <row r="129" spans="1:12">
      <c r="A129" s="1">
        <v>41</v>
      </c>
      <c r="B129" s="1" t="s">
        <v>34</v>
      </c>
      <c r="C129" s="1" t="s">
        <v>12</v>
      </c>
      <c r="D129" s="7">
        <f>7184.84+104.13</f>
        <v>7288.97</v>
      </c>
      <c r="E129" s="7">
        <v>307.43</v>
      </c>
      <c r="F129" s="7">
        <v>78.17</v>
      </c>
      <c r="G129" s="7"/>
      <c r="H129" s="7"/>
      <c r="I129" s="7"/>
      <c r="J129" s="7">
        <f>SUM(D129:I129)</f>
        <v>7674.5700000000006</v>
      </c>
      <c r="K129" s="1"/>
      <c r="L129" s="1"/>
    </row>
    <row r="130" spans="1:12">
      <c r="A130" s="1"/>
      <c r="B130" s="1"/>
      <c r="C130" s="1" t="s">
        <v>35</v>
      </c>
      <c r="D130" s="7">
        <f>5.01+345.87</f>
        <v>350.88</v>
      </c>
      <c r="E130" s="7">
        <v>14.64</v>
      </c>
      <c r="F130" s="7">
        <v>3.51</v>
      </c>
      <c r="G130" s="7"/>
      <c r="H130" s="7"/>
      <c r="I130" s="7"/>
      <c r="J130" s="7">
        <f>SUM(D130:I130)</f>
        <v>369.03</v>
      </c>
      <c r="K130" s="1"/>
      <c r="L130" s="1"/>
    </row>
    <row r="131" spans="1:12">
      <c r="A131" s="1"/>
      <c r="B131" s="1"/>
      <c r="C131" s="1"/>
      <c r="D131" s="7"/>
      <c r="E131" s="7"/>
      <c r="F131" s="7"/>
      <c r="G131" s="7"/>
      <c r="H131" s="7"/>
      <c r="I131" s="7"/>
      <c r="J131" s="7"/>
      <c r="K131" s="1"/>
      <c r="L131" s="1"/>
    </row>
    <row r="132" spans="1:12">
      <c r="A132" s="1"/>
      <c r="B132" s="1"/>
      <c r="C132" s="1" t="s">
        <v>10</v>
      </c>
      <c r="D132" s="7">
        <f t="shared" ref="D132:I132" si="19">SUM(D129:D130)</f>
        <v>7639.85</v>
      </c>
      <c r="E132" s="7">
        <f t="shared" si="19"/>
        <v>322.07</v>
      </c>
      <c r="F132" s="7">
        <f t="shared" si="19"/>
        <v>81.680000000000007</v>
      </c>
      <c r="G132" s="7">
        <f t="shared" si="19"/>
        <v>0</v>
      </c>
      <c r="H132" s="7">
        <f t="shared" si="19"/>
        <v>0</v>
      </c>
      <c r="I132" s="7">
        <f t="shared" si="19"/>
        <v>0</v>
      </c>
      <c r="J132" s="7">
        <f>SUM(D132:I132)</f>
        <v>8043.6</v>
      </c>
      <c r="K132" s="1"/>
      <c r="L132" s="1"/>
    </row>
    <row r="133" spans="1:12">
      <c r="A133" s="1"/>
      <c r="B133" s="1"/>
      <c r="C133" s="1"/>
      <c r="D133" s="7"/>
      <c r="E133" s="7"/>
      <c r="F133" s="7"/>
      <c r="G133" s="7"/>
      <c r="H133" s="7"/>
      <c r="I133" s="7"/>
      <c r="J133" s="7"/>
      <c r="K133" s="1"/>
      <c r="L133" s="1"/>
    </row>
    <row r="134" spans="1:12">
      <c r="A134" s="1"/>
      <c r="B134" s="1"/>
      <c r="C134" s="1"/>
      <c r="D134" s="7"/>
      <c r="E134" s="7"/>
      <c r="F134" s="7"/>
      <c r="G134" s="7"/>
      <c r="H134" s="7"/>
      <c r="I134" s="7"/>
      <c r="J134" s="7"/>
      <c r="K134" s="1"/>
      <c r="L134" s="1"/>
    </row>
    <row r="135" spans="1:12">
      <c r="A135" s="1">
        <v>42</v>
      </c>
      <c r="B135" s="1" t="s">
        <v>36</v>
      </c>
      <c r="C135" s="1" t="s">
        <v>12</v>
      </c>
      <c r="D135" s="7">
        <f>6281.28+42.93</f>
        <v>6324.21</v>
      </c>
      <c r="E135" s="7">
        <v>92.03</v>
      </c>
      <c r="F135" s="7"/>
      <c r="G135" s="7"/>
      <c r="H135" s="7"/>
      <c r="I135" s="7"/>
      <c r="J135" s="7">
        <f>SUM(D135:I135)</f>
        <v>6416.24</v>
      </c>
      <c r="K135" s="1"/>
      <c r="L135" s="1"/>
    </row>
    <row r="136" spans="1:12">
      <c r="A136" s="1"/>
      <c r="B136" s="1"/>
      <c r="C136" s="1" t="s">
        <v>13</v>
      </c>
      <c r="D136" s="7">
        <f>1.48+216.21</f>
        <v>217.69</v>
      </c>
      <c r="E136" s="7">
        <v>3.03</v>
      </c>
      <c r="F136" s="7"/>
      <c r="G136" s="7"/>
      <c r="H136" s="7"/>
      <c r="I136" s="7"/>
      <c r="J136" s="7">
        <f>SUM(D136:I136)</f>
        <v>220.72</v>
      </c>
      <c r="K136" s="1"/>
      <c r="L136" s="1"/>
    </row>
    <row r="137" spans="1:12">
      <c r="A137" s="1"/>
      <c r="B137" s="1"/>
      <c r="C137" s="1"/>
      <c r="D137" s="7"/>
      <c r="E137" s="7"/>
      <c r="F137" s="7"/>
      <c r="G137" s="7"/>
      <c r="H137" s="7"/>
      <c r="I137" s="7"/>
      <c r="J137" s="7"/>
      <c r="K137" s="1"/>
      <c r="L137" s="1"/>
    </row>
    <row r="138" spans="1:12">
      <c r="A138" s="1"/>
      <c r="B138" s="1"/>
      <c r="C138" s="1" t="s">
        <v>10</v>
      </c>
      <c r="D138" s="7">
        <f t="shared" ref="D138:I138" si="20">SUM(D135:D136)</f>
        <v>6541.9</v>
      </c>
      <c r="E138" s="7">
        <f t="shared" si="20"/>
        <v>95.06</v>
      </c>
      <c r="F138" s="7">
        <f t="shared" si="20"/>
        <v>0</v>
      </c>
      <c r="G138" s="7">
        <f t="shared" si="20"/>
        <v>0</v>
      </c>
      <c r="H138" s="7">
        <f t="shared" si="20"/>
        <v>0</v>
      </c>
      <c r="I138" s="7">
        <f t="shared" si="20"/>
        <v>0</v>
      </c>
      <c r="J138" s="7">
        <f>SUM(D138:I138)</f>
        <v>6636.96</v>
      </c>
      <c r="K138" s="1"/>
      <c r="L138" s="1"/>
    </row>
    <row r="139" spans="1:12">
      <c r="A139" s="1"/>
      <c r="B139" s="1"/>
      <c r="C139" s="1"/>
      <c r="D139" s="7"/>
      <c r="E139" s="7"/>
      <c r="F139" s="7"/>
      <c r="G139" s="7"/>
      <c r="H139" s="7"/>
      <c r="I139" s="7"/>
      <c r="J139" s="7"/>
      <c r="K139" s="1"/>
      <c r="L139" s="1"/>
    </row>
    <row r="140" spans="1:12">
      <c r="A140" s="1"/>
      <c r="B140" s="1"/>
      <c r="C140" s="1"/>
      <c r="D140" s="7"/>
      <c r="E140" s="7"/>
      <c r="F140" s="7"/>
      <c r="G140" s="7"/>
      <c r="H140" s="7"/>
      <c r="I140" s="7"/>
      <c r="J140" s="7"/>
      <c r="K140" s="1"/>
      <c r="L140" s="1"/>
    </row>
    <row r="141" spans="1:12">
      <c r="A141" s="1">
        <v>43</v>
      </c>
      <c r="B141" s="1" t="s">
        <v>37</v>
      </c>
      <c r="C141" s="1" t="s">
        <v>12</v>
      </c>
      <c r="D141" s="7">
        <f>163.84+7117.93</f>
        <v>7281.77</v>
      </c>
      <c r="E141" s="7">
        <v>0.09</v>
      </c>
      <c r="F141" s="7">
        <v>0</v>
      </c>
      <c r="G141" s="7"/>
      <c r="H141" s="7"/>
      <c r="I141" s="7"/>
      <c r="J141" s="7">
        <f>SUM(D141:I141)</f>
        <v>7281.8600000000006</v>
      </c>
      <c r="K141" s="1"/>
      <c r="L141" s="1"/>
    </row>
    <row r="142" spans="1:12">
      <c r="A142" s="1"/>
      <c r="B142" s="1"/>
      <c r="C142" s="1" t="s">
        <v>35</v>
      </c>
      <c r="D142" s="7">
        <f>8.31+360.58</f>
        <v>368.89</v>
      </c>
      <c r="E142" s="7">
        <v>0.01</v>
      </c>
      <c r="F142" s="7">
        <v>0</v>
      </c>
      <c r="G142" s="7"/>
      <c r="H142" s="7"/>
      <c r="I142" s="7"/>
      <c r="J142" s="7">
        <f>SUM(D142:I142)</f>
        <v>368.9</v>
      </c>
      <c r="K142" s="1"/>
      <c r="L142" s="1"/>
    </row>
    <row r="143" spans="1:12">
      <c r="A143" s="1"/>
      <c r="B143" s="1"/>
      <c r="C143" s="1" t="s">
        <v>13</v>
      </c>
      <c r="D143" s="7">
        <f>537.5+12.38</f>
        <v>549.88</v>
      </c>
      <c r="E143" s="7">
        <v>-0.1</v>
      </c>
      <c r="F143" s="7">
        <v>0</v>
      </c>
      <c r="G143" s="7"/>
      <c r="H143" s="7"/>
      <c r="I143" s="7"/>
      <c r="J143" s="7">
        <f>SUM(D143:I143)</f>
        <v>549.78</v>
      </c>
      <c r="K143" s="1"/>
      <c r="L143" s="1"/>
    </row>
    <row r="144" spans="1:12">
      <c r="A144" s="1"/>
      <c r="B144" s="1"/>
      <c r="C144" s="1" t="s">
        <v>87</v>
      </c>
      <c r="D144" s="7">
        <f>24.93+1082.41</f>
        <v>1107.3400000000001</v>
      </c>
      <c r="E144" s="7"/>
      <c r="F144" s="7"/>
      <c r="G144" s="7"/>
      <c r="H144" s="7"/>
      <c r="I144" s="7"/>
      <c r="J144" s="7">
        <f>SUM(D144:I144)</f>
        <v>1107.3400000000001</v>
      </c>
      <c r="K144" s="1"/>
      <c r="L144" s="1"/>
    </row>
    <row r="145" spans="1:12">
      <c r="A145" s="1"/>
      <c r="B145" s="1"/>
      <c r="C145" s="1"/>
      <c r="D145" s="7"/>
      <c r="E145" s="7"/>
      <c r="F145" s="7"/>
      <c r="G145" s="7"/>
      <c r="H145" s="7"/>
      <c r="I145" s="7"/>
      <c r="J145" s="7"/>
      <c r="K145" s="1"/>
      <c r="L145" s="1"/>
    </row>
    <row r="146" spans="1:12">
      <c r="A146" s="1"/>
      <c r="B146" s="1"/>
      <c r="C146" s="1" t="s">
        <v>10</v>
      </c>
      <c r="D146" s="7">
        <f>SUM(D141:D144)</f>
        <v>9307.880000000001</v>
      </c>
      <c r="E146" s="7">
        <f>SUM(E141:E143)</f>
        <v>0</v>
      </c>
      <c r="F146" s="7">
        <f>SUM(F141:F143)</f>
        <v>0</v>
      </c>
      <c r="G146" s="7">
        <f>SUM(G141:G143)</f>
        <v>0</v>
      </c>
      <c r="H146" s="7">
        <f>SUM(H141:H143)</f>
        <v>0</v>
      </c>
      <c r="I146" s="7">
        <f>SUM(I141:I143)</f>
        <v>0</v>
      </c>
      <c r="J146" s="7">
        <f>SUM(D146:I146)</f>
        <v>9307.880000000001</v>
      </c>
      <c r="K146" s="1"/>
      <c r="L146" s="1"/>
    </row>
    <row r="147" spans="1:12">
      <c r="A147" s="1"/>
      <c r="B147" s="1"/>
      <c r="C147" s="1"/>
      <c r="D147" s="7"/>
      <c r="E147" s="7"/>
      <c r="F147" s="7"/>
      <c r="G147" s="7"/>
      <c r="H147" s="7"/>
      <c r="I147" s="7"/>
      <c r="J147" s="7"/>
      <c r="K147" s="1"/>
      <c r="L147" s="1"/>
    </row>
    <row r="148" spans="1:12">
      <c r="A148" s="1"/>
      <c r="B148" s="1"/>
      <c r="C148" s="1"/>
      <c r="D148" s="7"/>
      <c r="E148" s="7"/>
      <c r="F148" s="7"/>
      <c r="G148" s="7"/>
      <c r="H148" s="7"/>
      <c r="I148" s="7"/>
      <c r="J148" s="7"/>
      <c r="K148" s="1"/>
      <c r="L148" s="1"/>
    </row>
    <row r="149" spans="1:12">
      <c r="A149" s="1">
        <v>44</v>
      </c>
      <c r="B149" s="1" t="s">
        <v>38</v>
      </c>
      <c r="C149" s="1" t="s">
        <v>12</v>
      </c>
      <c r="D149" s="7">
        <f>10034.8+75.03</f>
        <v>10109.83</v>
      </c>
      <c r="E149" s="7">
        <v>336.17</v>
      </c>
      <c r="F149" s="7">
        <v>265.55</v>
      </c>
      <c r="G149" s="7">
        <v>167.99</v>
      </c>
      <c r="H149" s="7">
        <v>79.069999999999993</v>
      </c>
      <c r="I149" s="7"/>
      <c r="J149" s="7">
        <f>SUM(D149:I149)</f>
        <v>10958.609999999999</v>
      </c>
      <c r="K149" s="1"/>
      <c r="L149" s="1"/>
    </row>
    <row r="150" spans="1:12">
      <c r="A150" s="1"/>
      <c r="B150" s="1"/>
      <c r="C150" s="1"/>
      <c r="D150" s="7"/>
      <c r="E150" s="7"/>
      <c r="F150" s="7"/>
      <c r="G150" s="7"/>
      <c r="H150" s="7"/>
      <c r="I150" s="7"/>
      <c r="J150" s="7"/>
      <c r="K150" s="1"/>
      <c r="L150" s="1"/>
    </row>
    <row r="151" spans="1:12">
      <c r="A151" s="1"/>
      <c r="B151" s="1"/>
      <c r="C151" s="1" t="s">
        <v>10</v>
      </c>
      <c r="D151" s="7">
        <f t="shared" ref="D151:I151" si="21">SUM(D149:D150)</f>
        <v>10109.83</v>
      </c>
      <c r="E151" s="7">
        <f t="shared" si="21"/>
        <v>336.17</v>
      </c>
      <c r="F151" s="7">
        <f t="shared" si="21"/>
        <v>265.55</v>
      </c>
      <c r="G151" s="7">
        <f t="shared" si="21"/>
        <v>167.99</v>
      </c>
      <c r="H151" s="7">
        <f t="shared" si="21"/>
        <v>79.069999999999993</v>
      </c>
      <c r="I151" s="7">
        <f t="shared" si="21"/>
        <v>0</v>
      </c>
      <c r="J151" s="7">
        <f>SUM(D151:I151)</f>
        <v>10958.609999999999</v>
      </c>
      <c r="K151" s="1"/>
      <c r="L151" s="1"/>
    </row>
    <row r="152" spans="1:12">
      <c r="A152" s="1"/>
      <c r="B152" s="1"/>
      <c r="C152" s="1"/>
      <c r="D152" s="7" t="s">
        <v>70</v>
      </c>
      <c r="E152" s="7" t="s">
        <v>70</v>
      </c>
      <c r="F152" s="7" t="s">
        <v>70</v>
      </c>
      <c r="G152" s="7" t="s">
        <v>70</v>
      </c>
      <c r="H152" s="7" t="s">
        <v>70</v>
      </c>
      <c r="I152" s="7" t="s">
        <v>70</v>
      </c>
      <c r="J152" s="7"/>
      <c r="K152" s="1"/>
      <c r="L152" s="1"/>
    </row>
    <row r="153" spans="1:12">
      <c r="A153" s="1"/>
      <c r="B153" s="1"/>
      <c r="C153" s="1"/>
      <c r="D153" s="7"/>
      <c r="E153" s="7"/>
      <c r="F153" s="7"/>
      <c r="G153" s="7"/>
      <c r="H153" s="7"/>
      <c r="I153" s="7"/>
      <c r="J153" s="7"/>
      <c r="K153" s="1"/>
      <c r="L153" s="1"/>
    </row>
    <row r="154" spans="1:12">
      <c r="A154" s="1">
        <v>45</v>
      </c>
      <c r="B154" s="1" t="s">
        <v>39</v>
      </c>
      <c r="C154" s="1" t="s">
        <v>12</v>
      </c>
      <c r="D154" s="7">
        <f>329.76+5271.3</f>
        <v>5601.06</v>
      </c>
      <c r="E154" s="7">
        <v>359.81</v>
      </c>
      <c r="F154" s="7">
        <v>0</v>
      </c>
      <c r="G154" s="7"/>
      <c r="H154" s="7"/>
      <c r="I154" s="7"/>
      <c r="J154" s="7">
        <f>SUM(D154:I154)</f>
        <v>5960.8700000000008</v>
      </c>
      <c r="K154" s="1"/>
      <c r="L154" s="1"/>
    </row>
    <row r="155" spans="1:12">
      <c r="A155" s="1"/>
      <c r="B155" s="1"/>
      <c r="C155" s="1"/>
      <c r="D155" s="7"/>
      <c r="E155" s="7"/>
      <c r="F155" s="7"/>
      <c r="G155" s="7"/>
      <c r="H155" s="7"/>
      <c r="I155" s="7"/>
      <c r="J155" s="7"/>
      <c r="K155" s="1"/>
      <c r="L155" s="1"/>
    </row>
    <row r="156" spans="1:12">
      <c r="A156" s="1"/>
      <c r="B156" s="1"/>
      <c r="C156" s="1" t="s">
        <v>10</v>
      </c>
      <c r="D156" s="7">
        <f t="shared" ref="D156:I156" si="22">SUM(D154:D155)</f>
        <v>5601.06</v>
      </c>
      <c r="E156" s="7">
        <f t="shared" si="22"/>
        <v>359.81</v>
      </c>
      <c r="F156" s="7">
        <f t="shared" si="22"/>
        <v>0</v>
      </c>
      <c r="G156" s="7">
        <f t="shared" si="22"/>
        <v>0</v>
      </c>
      <c r="H156" s="7">
        <f t="shared" si="22"/>
        <v>0</v>
      </c>
      <c r="I156" s="7">
        <f t="shared" si="22"/>
        <v>0</v>
      </c>
      <c r="J156" s="7">
        <f>SUM(D156:I156)</f>
        <v>5960.8700000000008</v>
      </c>
      <c r="K156" s="1"/>
      <c r="L156" s="1"/>
    </row>
    <row r="157" spans="1:12">
      <c r="A157" s="1"/>
      <c r="B157" s="1"/>
      <c r="C157" s="1"/>
      <c r="D157" s="7"/>
      <c r="E157" s="7"/>
      <c r="F157" s="7"/>
      <c r="G157" s="7"/>
      <c r="H157" s="7"/>
      <c r="I157" s="7"/>
      <c r="J157" s="7"/>
      <c r="K157" s="1"/>
      <c r="L157" s="1"/>
    </row>
    <row r="158" spans="1:12">
      <c r="A158" s="1"/>
      <c r="B158" s="1"/>
      <c r="C158" s="1"/>
      <c r="D158" s="7"/>
      <c r="E158" s="7"/>
      <c r="F158" s="7"/>
      <c r="G158" s="7"/>
      <c r="H158" s="7"/>
      <c r="I158" s="7"/>
      <c r="J158" s="7"/>
      <c r="K158" s="1"/>
      <c r="L158" s="1"/>
    </row>
    <row r="159" spans="1:12">
      <c r="A159" s="1">
        <v>46</v>
      </c>
      <c r="B159" s="1" t="s">
        <v>40</v>
      </c>
      <c r="C159" s="1" t="s">
        <v>12</v>
      </c>
      <c r="D159" s="7">
        <f>119.84+5448.57</f>
        <v>5568.41</v>
      </c>
      <c r="E159" s="7">
        <v>151.38</v>
      </c>
      <c r="F159" s="7">
        <v>136.15</v>
      </c>
      <c r="G159" s="7"/>
      <c r="H159" s="7"/>
      <c r="I159" s="7"/>
      <c r="J159" s="7">
        <f>SUM(D159:I159)</f>
        <v>5855.94</v>
      </c>
      <c r="K159" s="1"/>
      <c r="L159" s="1"/>
    </row>
    <row r="160" spans="1:12">
      <c r="A160" s="1"/>
      <c r="B160" s="1"/>
      <c r="C160" s="1"/>
      <c r="D160" s="7"/>
      <c r="E160" s="7"/>
      <c r="F160" s="7"/>
      <c r="G160" s="7"/>
      <c r="H160" s="7"/>
      <c r="I160" s="7"/>
      <c r="J160" s="7"/>
      <c r="K160" s="1"/>
      <c r="L160" s="1"/>
    </row>
    <row r="161" spans="1:12">
      <c r="A161" s="1"/>
      <c r="B161" s="1"/>
      <c r="C161" s="1" t="s">
        <v>10</v>
      </c>
      <c r="D161" s="7">
        <f t="shared" ref="D161:I161" si="23">SUM(D159:D160)</f>
        <v>5568.41</v>
      </c>
      <c r="E161" s="7">
        <f t="shared" si="23"/>
        <v>151.38</v>
      </c>
      <c r="F161" s="7">
        <f t="shared" si="23"/>
        <v>136.15</v>
      </c>
      <c r="G161" s="7">
        <f t="shared" si="23"/>
        <v>0</v>
      </c>
      <c r="H161" s="7">
        <f t="shared" si="23"/>
        <v>0</v>
      </c>
      <c r="I161" s="7">
        <f t="shared" si="23"/>
        <v>0</v>
      </c>
      <c r="J161" s="7">
        <f>SUM(D161:I161)</f>
        <v>5855.94</v>
      </c>
      <c r="K161" s="1"/>
      <c r="L161" s="1"/>
    </row>
    <row r="162" spans="1:12">
      <c r="A162" s="1"/>
      <c r="B162" s="1"/>
      <c r="C162" s="1"/>
      <c r="D162" s="7"/>
      <c r="E162" s="7"/>
      <c r="F162" s="7"/>
      <c r="G162" s="7"/>
      <c r="H162" s="7"/>
      <c r="I162" s="7"/>
      <c r="J162" s="7"/>
      <c r="K162" s="1"/>
      <c r="L162" s="1"/>
    </row>
    <row r="163" spans="1:12">
      <c r="A163" s="1"/>
      <c r="B163" s="1"/>
      <c r="C163" s="1"/>
      <c r="D163" s="7"/>
      <c r="E163" s="7"/>
      <c r="F163" s="7"/>
      <c r="G163" s="7"/>
      <c r="H163" s="7"/>
      <c r="I163" s="7"/>
      <c r="J163" s="7"/>
      <c r="K163" s="1"/>
      <c r="L163" s="1"/>
    </row>
    <row r="164" spans="1:12">
      <c r="A164" s="1">
        <v>47</v>
      </c>
      <c r="B164" s="1" t="s">
        <v>41</v>
      </c>
      <c r="C164" s="1" t="s">
        <v>12</v>
      </c>
      <c r="D164" s="7">
        <f>8409.36+360.33</f>
        <v>8769.69</v>
      </c>
      <c r="E164" s="7">
        <v>912.05</v>
      </c>
      <c r="F164" s="7">
        <v>159.88</v>
      </c>
      <c r="G164" s="7"/>
      <c r="H164" s="7"/>
      <c r="I164" s="7"/>
      <c r="J164" s="7">
        <f>SUM(D164:I164)</f>
        <v>9841.619999999999</v>
      </c>
      <c r="K164" s="1"/>
      <c r="L164" s="1"/>
    </row>
    <row r="165" spans="1:12">
      <c r="A165" s="1"/>
      <c r="B165" s="1"/>
      <c r="C165" s="1"/>
      <c r="D165" s="7"/>
      <c r="E165" s="7"/>
      <c r="F165" s="7"/>
      <c r="G165" s="7"/>
      <c r="H165" s="7"/>
      <c r="I165" s="7"/>
      <c r="J165" s="7"/>
      <c r="K165" s="1"/>
      <c r="L165" s="1"/>
    </row>
    <row r="166" spans="1:12">
      <c r="A166" s="1"/>
      <c r="B166" s="1"/>
      <c r="C166" s="1"/>
      <c r="D166" s="7"/>
      <c r="E166" s="7"/>
      <c r="F166" s="7"/>
      <c r="G166" s="7"/>
      <c r="H166" s="7"/>
      <c r="I166" s="7"/>
      <c r="J166" s="7"/>
      <c r="K166" s="1"/>
      <c r="L166" s="1"/>
    </row>
    <row r="167" spans="1:12">
      <c r="A167" s="1"/>
      <c r="B167" s="1"/>
      <c r="C167" s="1" t="s">
        <v>10</v>
      </c>
      <c r="D167" s="7">
        <f t="shared" ref="D167:I167" si="24">SUM(D164:D165)</f>
        <v>8769.69</v>
      </c>
      <c r="E167" s="7">
        <f t="shared" si="24"/>
        <v>912.05</v>
      </c>
      <c r="F167" s="7">
        <f t="shared" si="24"/>
        <v>159.88</v>
      </c>
      <c r="G167" s="7">
        <f t="shared" si="24"/>
        <v>0</v>
      </c>
      <c r="H167" s="7">
        <f t="shared" si="24"/>
        <v>0</v>
      </c>
      <c r="I167" s="7">
        <f t="shared" si="24"/>
        <v>0</v>
      </c>
      <c r="J167" s="7">
        <f>SUM(D167:I167)</f>
        <v>9841.619999999999</v>
      </c>
      <c r="K167" s="1"/>
      <c r="L167" s="1"/>
    </row>
    <row r="168" spans="1:12">
      <c r="A168" s="1"/>
      <c r="B168" s="1"/>
      <c r="C168" s="1"/>
      <c r="D168" s="7"/>
      <c r="E168" s="7"/>
      <c r="F168" s="7"/>
      <c r="G168" s="7"/>
      <c r="H168" s="7"/>
      <c r="I168" s="7"/>
      <c r="J168" s="7"/>
      <c r="K168" s="1"/>
      <c r="L168" s="1"/>
    </row>
    <row r="169" spans="1:12">
      <c r="A169" s="1"/>
      <c r="B169" s="1"/>
      <c r="C169" s="1"/>
      <c r="D169" s="7"/>
      <c r="E169" s="7"/>
      <c r="F169" s="7"/>
      <c r="G169" s="7"/>
      <c r="H169" s="7"/>
      <c r="I169" s="7"/>
      <c r="J169" s="7"/>
      <c r="K169" s="1"/>
      <c r="L169" s="1"/>
    </row>
    <row r="170" spans="1:12">
      <c r="A170" s="1">
        <v>48</v>
      </c>
      <c r="B170" s="1" t="s">
        <v>42</v>
      </c>
      <c r="C170" s="1" t="s">
        <v>12</v>
      </c>
      <c r="D170" s="7">
        <v>10184.469999999999</v>
      </c>
      <c r="E170" s="7">
        <v>454.69</v>
      </c>
      <c r="F170" s="7">
        <v>191.66</v>
      </c>
      <c r="G170" s="7">
        <v>188.55</v>
      </c>
      <c r="H170" s="7">
        <v>94.07</v>
      </c>
      <c r="I170" s="7"/>
      <c r="J170" s="7">
        <f>SUM(D170:I170)</f>
        <v>11113.439999999999</v>
      </c>
      <c r="K170" s="1"/>
      <c r="L170" s="1"/>
    </row>
    <row r="171" spans="1:12">
      <c r="A171" s="1"/>
      <c r="B171" s="1"/>
      <c r="C171" s="1"/>
      <c r="D171" s="7"/>
      <c r="E171" s="7"/>
      <c r="F171" s="7"/>
      <c r="G171" s="7"/>
      <c r="H171" s="7"/>
      <c r="I171" s="7"/>
      <c r="J171" s="7"/>
      <c r="K171" s="1"/>
      <c r="L171" s="1"/>
    </row>
    <row r="172" spans="1:12">
      <c r="A172" s="1"/>
      <c r="B172" s="1"/>
      <c r="C172" s="1" t="s">
        <v>10</v>
      </c>
      <c r="D172" s="7">
        <f t="shared" ref="D172:I172" si="25">SUM(D170:D171)</f>
        <v>10184.469999999999</v>
      </c>
      <c r="E172" s="7">
        <f t="shared" si="25"/>
        <v>454.69</v>
      </c>
      <c r="F172" s="7">
        <f t="shared" si="25"/>
        <v>191.66</v>
      </c>
      <c r="G172" s="7">
        <f t="shared" si="25"/>
        <v>188.55</v>
      </c>
      <c r="H172" s="7">
        <f t="shared" si="25"/>
        <v>94.07</v>
      </c>
      <c r="I172" s="7">
        <f t="shared" si="25"/>
        <v>0</v>
      </c>
      <c r="J172" s="7">
        <f>SUM(D172:I172)</f>
        <v>11113.439999999999</v>
      </c>
      <c r="K172" s="1"/>
      <c r="L172" s="1"/>
    </row>
    <row r="173" spans="1:12">
      <c r="A173" s="1"/>
      <c r="B173" s="1"/>
      <c r="C173" s="1"/>
      <c r="D173" s="7"/>
      <c r="E173" s="7"/>
      <c r="F173" s="7"/>
      <c r="G173" s="7"/>
      <c r="H173" s="7"/>
      <c r="I173" s="7"/>
      <c r="J173" s="7"/>
      <c r="K173" s="1"/>
      <c r="L173" s="1"/>
    </row>
    <row r="174" spans="1:12">
      <c r="A174" s="1"/>
      <c r="B174" s="1"/>
      <c r="C174" s="1"/>
      <c r="D174" s="7"/>
      <c r="E174" s="7"/>
      <c r="F174" s="7"/>
      <c r="G174" s="7"/>
      <c r="H174" s="7"/>
      <c r="I174" s="7"/>
      <c r="J174" s="7"/>
      <c r="K174" s="1"/>
      <c r="L174" s="1"/>
    </row>
    <row r="175" spans="1:12">
      <c r="A175" s="1">
        <v>49</v>
      </c>
      <c r="B175" s="1" t="s">
        <v>43</v>
      </c>
      <c r="C175" s="1" t="s">
        <v>12</v>
      </c>
      <c r="D175" s="7">
        <v>12655.58</v>
      </c>
      <c r="E175" s="7">
        <v>266.73</v>
      </c>
      <c r="F175" s="7">
        <v>268.02999999999997</v>
      </c>
      <c r="G175" s="7">
        <v>124.52</v>
      </c>
      <c r="H175" s="7"/>
      <c r="I175" s="7"/>
      <c r="J175" s="7">
        <f>SUM(D175:I175)</f>
        <v>13314.86</v>
      </c>
      <c r="K175" s="1"/>
      <c r="L175" s="1"/>
    </row>
    <row r="176" spans="1:12">
      <c r="A176" s="1"/>
      <c r="B176" s="1"/>
      <c r="C176" s="1"/>
      <c r="D176" s="7"/>
      <c r="E176" s="7"/>
      <c r="F176" s="7"/>
      <c r="G176" s="7"/>
      <c r="H176" s="7"/>
      <c r="I176" s="7"/>
      <c r="J176" s="7"/>
      <c r="K176" s="1"/>
      <c r="L176" s="1"/>
    </row>
    <row r="177" spans="1:12">
      <c r="A177" s="1"/>
      <c r="B177" s="1"/>
      <c r="C177" s="1" t="s">
        <v>10</v>
      </c>
      <c r="D177" s="7">
        <f t="shared" ref="D177:I177" si="26">SUM(D175:D176)</f>
        <v>12655.58</v>
      </c>
      <c r="E177" s="7">
        <f t="shared" si="26"/>
        <v>266.73</v>
      </c>
      <c r="F177" s="7">
        <f t="shared" si="26"/>
        <v>268.02999999999997</v>
      </c>
      <c r="G177" s="7">
        <f t="shared" si="26"/>
        <v>124.52</v>
      </c>
      <c r="H177" s="7">
        <f t="shared" si="26"/>
        <v>0</v>
      </c>
      <c r="I177" s="7">
        <f t="shared" si="26"/>
        <v>0</v>
      </c>
      <c r="J177" s="7">
        <f>SUM(D177:I177)</f>
        <v>13314.86</v>
      </c>
      <c r="K177" s="1"/>
      <c r="L177" s="1"/>
    </row>
    <row r="178" spans="1:12">
      <c r="A178" s="1"/>
      <c r="B178" s="1"/>
      <c r="C178" s="1"/>
      <c r="D178" s="7"/>
      <c r="E178" s="7"/>
      <c r="F178" s="7"/>
      <c r="G178" s="7"/>
      <c r="H178" s="7"/>
      <c r="I178" s="7"/>
      <c r="J178" s="7"/>
      <c r="K178" s="1"/>
      <c r="L178" s="1"/>
    </row>
    <row r="179" spans="1:12">
      <c r="A179" s="1"/>
      <c r="B179" s="1"/>
      <c r="C179" s="1"/>
      <c r="D179" s="7"/>
      <c r="E179" s="7"/>
      <c r="F179" s="7"/>
      <c r="G179" s="7"/>
      <c r="H179" s="7"/>
      <c r="I179" s="7"/>
      <c r="J179" s="7"/>
      <c r="K179" s="1"/>
      <c r="L179" s="1"/>
    </row>
    <row r="180" spans="1:12">
      <c r="A180" s="1">
        <v>50</v>
      </c>
      <c r="B180" s="1" t="s">
        <v>44</v>
      </c>
      <c r="C180" s="1" t="s">
        <v>12</v>
      </c>
      <c r="D180" s="7">
        <f>3476.21+117.91</f>
        <v>3594.12</v>
      </c>
      <c r="E180" s="7">
        <v>178.03</v>
      </c>
      <c r="F180" s="7">
        <v>122.98</v>
      </c>
      <c r="G180" s="7"/>
      <c r="H180" s="7"/>
      <c r="I180" s="7"/>
      <c r="J180" s="7">
        <f>SUM(D180:I180)</f>
        <v>3895.13</v>
      </c>
      <c r="K180" s="1"/>
      <c r="L180" s="1"/>
    </row>
    <row r="181" spans="1:12">
      <c r="A181" s="1"/>
      <c r="B181" s="1"/>
      <c r="C181" s="1" t="s">
        <v>13</v>
      </c>
      <c r="D181" s="7">
        <f>2.95+87.03</f>
        <v>89.98</v>
      </c>
      <c r="E181" s="7">
        <v>4.38</v>
      </c>
      <c r="F181" s="7">
        <v>3.12</v>
      </c>
      <c r="G181" s="7"/>
      <c r="H181" s="7"/>
      <c r="I181" s="7"/>
      <c r="J181" s="7">
        <f>SUM(D181:I181)</f>
        <v>97.48</v>
      </c>
      <c r="K181" s="1"/>
      <c r="L181" s="1"/>
    </row>
    <row r="182" spans="1:12">
      <c r="A182" s="1"/>
      <c r="B182" s="1"/>
      <c r="C182" s="1"/>
      <c r="D182" s="7"/>
      <c r="E182" s="7"/>
      <c r="F182" s="7"/>
      <c r="G182" s="7"/>
      <c r="H182" s="7"/>
      <c r="I182" s="7"/>
      <c r="J182" s="7"/>
      <c r="K182" s="1"/>
      <c r="L182" s="1"/>
    </row>
    <row r="183" spans="1:12">
      <c r="A183" s="1"/>
      <c r="B183" s="1"/>
      <c r="C183" s="1" t="s">
        <v>10</v>
      </c>
      <c r="D183" s="7">
        <f t="shared" ref="D183:I183" si="27">SUM(D180:D181)</f>
        <v>3684.1</v>
      </c>
      <c r="E183" s="7">
        <f t="shared" si="27"/>
        <v>182.41</v>
      </c>
      <c r="F183" s="7">
        <f t="shared" si="27"/>
        <v>126.10000000000001</v>
      </c>
      <c r="G183" s="7">
        <f t="shared" si="27"/>
        <v>0</v>
      </c>
      <c r="H183" s="7">
        <f t="shared" si="27"/>
        <v>0</v>
      </c>
      <c r="I183" s="7">
        <f t="shared" si="27"/>
        <v>0</v>
      </c>
      <c r="J183" s="7">
        <f>SUM(D183:I183)</f>
        <v>3992.6099999999997</v>
      </c>
      <c r="K183" s="1"/>
      <c r="L183" s="1"/>
    </row>
    <row r="184" spans="1:12">
      <c r="A184" s="1"/>
      <c r="B184" s="1"/>
      <c r="C184" s="1"/>
      <c r="D184" s="7"/>
      <c r="E184" s="7"/>
      <c r="F184" s="7"/>
      <c r="G184" s="7"/>
      <c r="H184" s="7"/>
      <c r="I184" s="7"/>
      <c r="J184" s="7"/>
      <c r="K184" s="1"/>
      <c r="L184" s="1"/>
    </row>
    <row r="185" spans="1:12">
      <c r="A185" s="1"/>
      <c r="B185" s="1"/>
      <c r="C185" s="1"/>
      <c r="D185" s="7"/>
      <c r="E185" s="7"/>
      <c r="F185" s="7"/>
      <c r="G185" s="7"/>
      <c r="H185" s="7"/>
      <c r="I185" s="7"/>
      <c r="J185" s="7"/>
      <c r="K185" s="1"/>
      <c r="L185" s="1"/>
    </row>
    <row r="186" spans="1:12">
      <c r="A186" s="1">
        <v>51</v>
      </c>
      <c r="B186" s="1" t="s">
        <v>45</v>
      </c>
      <c r="C186" s="1" t="s">
        <v>12</v>
      </c>
      <c r="D186" s="7">
        <f>329.79+12422.82</f>
        <v>12752.61</v>
      </c>
      <c r="E186" s="7">
        <v>697.43</v>
      </c>
      <c r="F186" s="7">
        <v>242.96</v>
      </c>
      <c r="G186" s="7">
        <v>237.2</v>
      </c>
      <c r="H186" s="7">
        <v>236.73</v>
      </c>
      <c r="I186" s="7"/>
      <c r="J186" s="7">
        <f>SUM(D186:I186)</f>
        <v>14166.93</v>
      </c>
      <c r="K186" s="1"/>
      <c r="L186" s="1"/>
    </row>
    <row r="187" spans="1:12">
      <c r="A187" s="1"/>
      <c r="B187" s="1"/>
      <c r="C187" s="1" t="s">
        <v>13</v>
      </c>
      <c r="D187" s="7"/>
      <c r="E187" s="7"/>
      <c r="F187" s="7">
        <v>15.26</v>
      </c>
      <c r="G187" s="7">
        <v>10.53</v>
      </c>
      <c r="H187" s="7">
        <v>15.75</v>
      </c>
      <c r="I187" s="7"/>
      <c r="J187" s="7">
        <f>SUM(D187:I187)</f>
        <v>41.54</v>
      </c>
      <c r="K187" s="1"/>
      <c r="L187" s="1"/>
    </row>
    <row r="188" spans="1:12">
      <c r="A188" s="1"/>
      <c r="B188" s="1"/>
      <c r="C188" s="1" t="s">
        <v>46</v>
      </c>
      <c r="D188" s="7">
        <f>6.95+258.59</f>
        <v>265.53999999999996</v>
      </c>
      <c r="E188" s="7">
        <v>14.59</v>
      </c>
      <c r="F188" s="7">
        <v>4.9400000000000004</v>
      </c>
      <c r="G188" s="7">
        <v>3.84</v>
      </c>
      <c r="H188" s="7">
        <v>3.81</v>
      </c>
      <c r="I188" s="7"/>
      <c r="J188" s="7">
        <f>SUM(D188:I188)</f>
        <v>292.71999999999991</v>
      </c>
      <c r="K188" s="1"/>
      <c r="L188" s="1"/>
    </row>
    <row r="189" spans="1:12">
      <c r="A189" s="1"/>
      <c r="B189" s="1"/>
      <c r="C189" s="1"/>
      <c r="D189" s="7"/>
      <c r="E189" s="7"/>
      <c r="F189" s="7"/>
      <c r="G189" s="7"/>
      <c r="H189" s="7"/>
      <c r="I189" s="7"/>
      <c r="J189" s="7"/>
      <c r="K189" s="1"/>
      <c r="L189" s="1"/>
    </row>
    <row r="190" spans="1:12">
      <c r="A190" s="1"/>
      <c r="B190" s="1"/>
      <c r="C190" s="1" t="s">
        <v>10</v>
      </c>
      <c r="D190" s="7">
        <f t="shared" ref="D190:I190" si="28">SUM(D186:D188)</f>
        <v>13018.150000000001</v>
      </c>
      <c r="E190" s="7">
        <f t="shared" si="28"/>
        <v>712.02</v>
      </c>
      <c r="F190" s="7">
        <f t="shared" si="28"/>
        <v>263.16000000000003</v>
      </c>
      <c r="G190" s="7">
        <f t="shared" si="28"/>
        <v>251.57</v>
      </c>
      <c r="H190" s="7">
        <f t="shared" si="28"/>
        <v>256.28999999999996</v>
      </c>
      <c r="I190" s="7">
        <f t="shared" si="28"/>
        <v>0</v>
      </c>
      <c r="J190" s="7">
        <f>SUM(D190:I190)</f>
        <v>14501.190000000002</v>
      </c>
      <c r="K190" s="1"/>
      <c r="L190" s="1"/>
    </row>
    <row r="191" spans="1:12">
      <c r="A191" s="1"/>
      <c r="B191" s="1"/>
      <c r="C191" s="1"/>
      <c r="D191" s="7"/>
      <c r="E191" s="7"/>
      <c r="F191" s="7"/>
      <c r="G191" s="7"/>
      <c r="H191" s="7"/>
      <c r="I191" s="7"/>
      <c r="J191" s="7"/>
      <c r="K191" s="1"/>
      <c r="L191" s="1"/>
    </row>
    <row r="192" spans="1:12">
      <c r="A192" s="1"/>
      <c r="B192" s="1"/>
      <c r="C192" s="1"/>
      <c r="D192" s="7"/>
      <c r="E192" s="7"/>
      <c r="F192" s="7"/>
      <c r="G192" s="7"/>
      <c r="H192" s="7"/>
      <c r="I192" s="7"/>
      <c r="J192" s="7"/>
      <c r="K192" s="1"/>
      <c r="L192" s="1"/>
    </row>
    <row r="193" spans="1:12">
      <c r="A193" s="1">
        <v>52</v>
      </c>
      <c r="B193" s="1" t="s">
        <v>47</v>
      </c>
      <c r="C193" s="1" t="s">
        <v>12</v>
      </c>
      <c r="D193" s="7">
        <f>407.12+9363.33</f>
        <v>9770.4500000000007</v>
      </c>
      <c r="E193" s="7">
        <v>26.39</v>
      </c>
      <c r="F193" s="7">
        <v>27.65</v>
      </c>
      <c r="G193" s="7"/>
      <c r="H193" s="7"/>
      <c r="I193" s="7"/>
      <c r="J193" s="7">
        <f>SUM(D193:I193)</f>
        <v>9824.49</v>
      </c>
      <c r="K193" s="1"/>
      <c r="L193" s="1"/>
    </row>
    <row r="194" spans="1:12">
      <c r="A194" s="1"/>
      <c r="B194" s="1"/>
      <c r="C194" s="1" t="s">
        <v>13</v>
      </c>
      <c r="D194" s="7"/>
      <c r="E194" s="7"/>
      <c r="F194" s="7">
        <v>1.76</v>
      </c>
      <c r="G194" s="7"/>
      <c r="H194" s="7"/>
      <c r="I194" s="7"/>
      <c r="J194" s="7">
        <f>SUM(D194:I194)</f>
        <v>1.76</v>
      </c>
      <c r="K194" s="1"/>
      <c r="L194" s="1"/>
    </row>
    <row r="195" spans="1:12">
      <c r="A195" s="1"/>
      <c r="B195" s="1"/>
      <c r="C195" s="1"/>
      <c r="D195" s="7"/>
      <c r="E195" s="7"/>
      <c r="F195" s="7"/>
      <c r="G195" s="7"/>
      <c r="H195" s="7"/>
      <c r="I195" s="7"/>
      <c r="J195" s="7"/>
      <c r="K195" s="1"/>
      <c r="L195" s="1"/>
    </row>
    <row r="196" spans="1:12">
      <c r="A196" s="1"/>
      <c r="B196" s="1"/>
      <c r="C196" s="1" t="s">
        <v>10</v>
      </c>
      <c r="D196" s="7">
        <f t="shared" ref="D196:I196" si="29">SUM(D193:D194)</f>
        <v>9770.4500000000007</v>
      </c>
      <c r="E196" s="7">
        <f t="shared" si="29"/>
        <v>26.39</v>
      </c>
      <c r="F196" s="7">
        <f t="shared" si="29"/>
        <v>29.41</v>
      </c>
      <c r="G196" s="7">
        <f t="shared" si="29"/>
        <v>0</v>
      </c>
      <c r="H196" s="7">
        <f t="shared" si="29"/>
        <v>0</v>
      </c>
      <c r="I196" s="7">
        <f t="shared" si="29"/>
        <v>0</v>
      </c>
      <c r="J196" s="7">
        <f>SUM(D196:I196)</f>
        <v>9826.25</v>
      </c>
      <c r="K196" s="1"/>
      <c r="L196" s="1"/>
    </row>
    <row r="197" spans="1:12">
      <c r="A197" s="1"/>
      <c r="B197" s="1"/>
      <c r="C197" s="1"/>
      <c r="D197" s="7"/>
      <c r="E197" s="7"/>
      <c r="F197" s="7"/>
      <c r="G197" s="7"/>
      <c r="H197" s="7"/>
      <c r="I197" s="7"/>
      <c r="J197" s="7"/>
      <c r="K197" s="1"/>
      <c r="L197" s="1"/>
    </row>
    <row r="198" spans="1:12">
      <c r="A198" s="1"/>
      <c r="B198" s="1"/>
      <c r="C198" s="1"/>
      <c r="D198" s="7"/>
      <c r="E198" s="7"/>
      <c r="F198" s="7"/>
      <c r="G198" s="7"/>
      <c r="H198" s="7"/>
      <c r="I198" s="7"/>
      <c r="J198" s="7"/>
      <c r="K198" s="1"/>
      <c r="L198" s="1"/>
    </row>
    <row r="199" spans="1:12">
      <c r="A199" s="1">
        <v>53</v>
      </c>
      <c r="B199" s="1" t="s">
        <v>48</v>
      </c>
      <c r="C199" s="1" t="s">
        <v>12</v>
      </c>
      <c r="D199" s="7">
        <f>14234.68+750.1</f>
        <v>14984.78</v>
      </c>
      <c r="E199" s="7">
        <v>356.81</v>
      </c>
      <c r="F199" s="7">
        <v>221.55</v>
      </c>
      <c r="G199" s="7">
        <v>183.46</v>
      </c>
      <c r="H199" s="7">
        <v>162.85</v>
      </c>
      <c r="I199" s="7">
        <v>70.540000000000006</v>
      </c>
      <c r="J199" s="7">
        <f>SUM(D199:I199)</f>
        <v>15979.99</v>
      </c>
      <c r="K199" s="1"/>
      <c r="L199" s="1"/>
    </row>
    <row r="200" spans="1:12">
      <c r="A200" s="1"/>
      <c r="B200" s="1"/>
      <c r="C200" s="1" t="s">
        <v>35</v>
      </c>
      <c r="D200" s="7">
        <f>33.33+632.16</f>
        <v>665.49</v>
      </c>
      <c r="E200" s="7">
        <v>12.2</v>
      </c>
      <c r="F200" s="7">
        <v>9.76</v>
      </c>
      <c r="G200" s="7">
        <v>8.06</v>
      </c>
      <c r="H200" s="7">
        <v>6.72</v>
      </c>
      <c r="I200" s="7">
        <v>2.85</v>
      </c>
      <c r="J200" s="7">
        <f>SUM(D200:I200)</f>
        <v>705.08</v>
      </c>
      <c r="K200" s="1"/>
      <c r="L200" s="1"/>
    </row>
    <row r="201" spans="1:12">
      <c r="A201" s="1"/>
      <c r="B201" s="1"/>
      <c r="C201" s="1"/>
      <c r="D201" s="7"/>
      <c r="E201" s="7"/>
      <c r="F201" s="7"/>
      <c r="G201" s="7"/>
      <c r="H201" s="7"/>
      <c r="I201" s="7"/>
      <c r="J201" s="7"/>
      <c r="K201" s="1"/>
      <c r="L201" s="1"/>
    </row>
    <row r="202" spans="1:12">
      <c r="A202" s="1"/>
      <c r="B202" s="1"/>
      <c r="C202" s="1" t="s">
        <v>10</v>
      </c>
      <c r="D202" s="7">
        <f t="shared" ref="D202:I202" si="30">SUM(D199:D200)</f>
        <v>15650.27</v>
      </c>
      <c r="E202" s="7">
        <f t="shared" si="30"/>
        <v>369.01</v>
      </c>
      <c r="F202" s="7">
        <f t="shared" si="30"/>
        <v>231.31</v>
      </c>
      <c r="G202" s="7">
        <f t="shared" si="30"/>
        <v>191.52</v>
      </c>
      <c r="H202" s="7">
        <f t="shared" si="30"/>
        <v>169.57</v>
      </c>
      <c r="I202" s="7">
        <f t="shared" si="30"/>
        <v>73.39</v>
      </c>
      <c r="J202" s="7">
        <f>SUM(D202:I202)</f>
        <v>16685.07</v>
      </c>
      <c r="K202" s="1"/>
      <c r="L202" s="1"/>
    </row>
    <row r="203" spans="1:12">
      <c r="A203" s="1"/>
      <c r="B203" s="1"/>
      <c r="C203" s="1"/>
      <c r="D203" s="7"/>
      <c r="E203" s="7"/>
      <c r="F203" s="7"/>
      <c r="G203" s="7"/>
      <c r="H203" s="7"/>
      <c r="I203" s="7"/>
      <c r="J203" s="7"/>
      <c r="K203" s="1"/>
      <c r="L203" s="1"/>
    </row>
    <row r="204" spans="1:12">
      <c r="A204" s="1"/>
      <c r="B204" s="1"/>
      <c r="C204" s="1"/>
      <c r="D204" s="7"/>
      <c r="E204" s="7"/>
      <c r="F204" s="7"/>
      <c r="G204" s="7"/>
      <c r="H204" s="7"/>
      <c r="I204" s="7"/>
      <c r="J204" s="7"/>
      <c r="K204" s="1"/>
      <c r="L204" s="1"/>
    </row>
    <row r="205" spans="1:12">
      <c r="A205" s="1">
        <v>54</v>
      </c>
      <c r="B205" s="1" t="s">
        <v>49</v>
      </c>
      <c r="C205" s="1" t="s">
        <v>12</v>
      </c>
      <c r="D205" s="7">
        <f>604.83+6807.35</f>
        <v>7412.18</v>
      </c>
      <c r="E205" s="7">
        <v>312.38</v>
      </c>
      <c r="F205" s="7">
        <v>0</v>
      </c>
      <c r="G205" s="7">
        <v>0</v>
      </c>
      <c r="H205" s="7"/>
      <c r="I205" s="7"/>
      <c r="J205" s="7">
        <f>SUM(D205:I205)</f>
        <v>7724.56</v>
      </c>
      <c r="K205" s="1"/>
      <c r="L205" s="1"/>
    </row>
    <row r="206" spans="1:12">
      <c r="A206" s="1"/>
      <c r="B206" s="1"/>
      <c r="C206" s="1"/>
      <c r="D206" s="7"/>
      <c r="E206" s="7"/>
      <c r="F206" s="7"/>
      <c r="G206" s="7"/>
      <c r="H206" s="7"/>
      <c r="I206" s="7"/>
      <c r="J206" s="7"/>
      <c r="K206" s="1"/>
      <c r="L206" s="1"/>
    </row>
    <row r="207" spans="1:12">
      <c r="A207" s="1"/>
      <c r="B207" s="1"/>
      <c r="C207" s="1" t="s">
        <v>10</v>
      </c>
      <c r="D207" s="7">
        <f t="shared" ref="D207:I207" si="31">SUM(D205:D206)</f>
        <v>7412.18</v>
      </c>
      <c r="E207" s="7">
        <f t="shared" si="31"/>
        <v>312.38</v>
      </c>
      <c r="F207" s="7">
        <f t="shared" si="31"/>
        <v>0</v>
      </c>
      <c r="G207" s="7">
        <f t="shared" si="31"/>
        <v>0</v>
      </c>
      <c r="H207" s="7">
        <f t="shared" si="31"/>
        <v>0</v>
      </c>
      <c r="I207" s="7">
        <f t="shared" si="31"/>
        <v>0</v>
      </c>
      <c r="J207" s="7">
        <f>SUM(D207:I207)</f>
        <v>7724.56</v>
      </c>
      <c r="K207" s="1"/>
      <c r="L207" s="1"/>
    </row>
    <row r="208" spans="1:12">
      <c r="A208" s="1"/>
      <c r="B208" s="1"/>
      <c r="C208" s="1"/>
      <c r="D208" s="7"/>
      <c r="E208" s="7"/>
      <c r="F208" s="7"/>
      <c r="G208" s="7"/>
      <c r="H208" s="7"/>
      <c r="I208" s="7"/>
      <c r="J208" s="7"/>
      <c r="K208" s="1"/>
      <c r="L208" s="1"/>
    </row>
    <row r="209" spans="1:12">
      <c r="A209" s="1"/>
      <c r="B209" s="1"/>
      <c r="C209" s="1"/>
      <c r="D209" s="7"/>
      <c r="E209" s="7"/>
      <c r="F209" s="7"/>
      <c r="G209" s="7"/>
      <c r="H209" s="7"/>
      <c r="I209" s="7"/>
      <c r="J209" s="7"/>
      <c r="K209" s="1"/>
      <c r="L209" s="1"/>
    </row>
    <row r="210" spans="1:12">
      <c r="A210" s="1">
        <v>55</v>
      </c>
      <c r="B210" s="1" t="s">
        <v>50</v>
      </c>
      <c r="C210" s="1" t="s">
        <v>12</v>
      </c>
      <c r="D210" s="7">
        <f>316.39+11486.81</f>
        <v>11803.199999999999</v>
      </c>
      <c r="E210" s="7">
        <v>220.16</v>
      </c>
      <c r="F210" s="7">
        <v>2.71</v>
      </c>
      <c r="G210" s="7">
        <v>1.71</v>
      </c>
      <c r="H210" s="7"/>
      <c r="I210" s="7"/>
      <c r="J210" s="7">
        <f>SUM(D210:I210)</f>
        <v>12027.779999999997</v>
      </c>
      <c r="K210" s="1"/>
      <c r="L210" s="1"/>
    </row>
    <row r="211" spans="1:12">
      <c r="A211" s="1"/>
      <c r="B211" s="1"/>
      <c r="C211" s="1" t="s">
        <v>13</v>
      </c>
      <c r="D211" s="7">
        <f>453.06+12.66</f>
        <v>465.72</v>
      </c>
      <c r="E211" s="7">
        <v>8.64</v>
      </c>
      <c r="F211" s="7">
        <v>0.14000000000000001</v>
      </c>
      <c r="G211" s="7">
        <v>0.04</v>
      </c>
      <c r="H211" s="7"/>
      <c r="I211" s="7"/>
      <c r="J211" s="7">
        <f>SUM(D211:I211)</f>
        <v>474.54</v>
      </c>
      <c r="K211" s="1"/>
      <c r="L211" s="1"/>
    </row>
    <row r="212" spans="1:12">
      <c r="A212" s="1"/>
      <c r="B212" s="1"/>
      <c r="C212" s="1"/>
      <c r="D212" s="7"/>
      <c r="E212" s="7"/>
      <c r="F212" s="7"/>
      <c r="G212" s="7"/>
      <c r="H212" s="7"/>
      <c r="I212" s="7"/>
      <c r="J212" s="7"/>
      <c r="K212" s="1"/>
      <c r="L212" s="1"/>
    </row>
    <row r="213" spans="1:12">
      <c r="A213" s="1"/>
      <c r="B213" s="1"/>
      <c r="C213" s="1" t="s">
        <v>10</v>
      </c>
      <c r="D213" s="7">
        <f t="shared" ref="D213:I213" si="32">SUM(D210:D211)</f>
        <v>12268.919999999998</v>
      </c>
      <c r="E213" s="7">
        <f t="shared" si="32"/>
        <v>228.8</v>
      </c>
      <c r="F213" s="7">
        <f t="shared" si="32"/>
        <v>2.85</v>
      </c>
      <c r="G213" s="7">
        <f t="shared" si="32"/>
        <v>1.75</v>
      </c>
      <c r="H213" s="7">
        <f t="shared" si="32"/>
        <v>0</v>
      </c>
      <c r="I213" s="7">
        <f t="shared" si="32"/>
        <v>0</v>
      </c>
      <c r="J213" s="7">
        <f>SUM(D213:I213)</f>
        <v>12502.319999999998</v>
      </c>
      <c r="K213" s="1"/>
      <c r="L213" s="1"/>
    </row>
    <row r="214" spans="1:12">
      <c r="A214" s="1"/>
      <c r="B214" s="1"/>
      <c r="C214" s="1"/>
      <c r="D214" s="7"/>
      <c r="E214" s="7"/>
      <c r="F214" s="7"/>
      <c r="G214" s="7"/>
      <c r="H214" s="7"/>
      <c r="I214" s="7"/>
      <c r="J214" s="7"/>
      <c r="K214" s="1"/>
      <c r="L214" s="1"/>
    </row>
    <row r="215" spans="1:12">
      <c r="A215" s="1"/>
      <c r="B215" s="1"/>
      <c r="C215" s="1"/>
      <c r="D215" s="7"/>
      <c r="E215" s="7"/>
      <c r="F215" s="7"/>
      <c r="G215" s="7"/>
      <c r="H215" s="7"/>
      <c r="I215" s="7"/>
      <c r="J215" s="7"/>
      <c r="K215" s="1"/>
      <c r="L215" s="1"/>
    </row>
    <row r="216" spans="1:12">
      <c r="A216" s="1">
        <v>56</v>
      </c>
      <c r="B216" s="1" t="s">
        <v>51</v>
      </c>
      <c r="C216" s="1" t="s">
        <v>12</v>
      </c>
      <c r="D216" s="7">
        <f>402.8+6609.89</f>
        <v>7012.6900000000005</v>
      </c>
      <c r="E216" s="7">
        <v>464.62</v>
      </c>
      <c r="F216" s="7">
        <v>455.48</v>
      </c>
      <c r="G216" s="7">
        <v>128.13999999999999</v>
      </c>
      <c r="H216" s="7"/>
      <c r="I216" s="7"/>
      <c r="J216" s="7">
        <f>SUM(D216:I216)</f>
        <v>8060.9300000000012</v>
      </c>
      <c r="K216" s="1"/>
      <c r="L216" s="1"/>
    </row>
    <row r="217" spans="1:12">
      <c r="A217" s="1"/>
      <c r="B217" s="1"/>
      <c r="C217" s="1" t="s">
        <v>13</v>
      </c>
      <c r="D217" s="7">
        <f>126.58+7.73</f>
        <v>134.31</v>
      </c>
      <c r="E217" s="7">
        <v>8.8699999999999992</v>
      </c>
      <c r="F217" s="7">
        <v>8.59</v>
      </c>
      <c r="G217" s="7">
        <v>2.31</v>
      </c>
      <c r="H217" s="7"/>
      <c r="I217" s="7"/>
      <c r="J217" s="7">
        <f>SUM(D217:I217)</f>
        <v>154.08000000000001</v>
      </c>
      <c r="K217" s="1"/>
      <c r="L217" s="1"/>
    </row>
    <row r="218" spans="1:12">
      <c r="A218" s="1"/>
      <c r="B218" s="1"/>
      <c r="C218" s="1"/>
      <c r="D218" s="7"/>
      <c r="E218" s="7"/>
      <c r="F218" s="7"/>
      <c r="G218" s="7"/>
      <c r="H218" s="7"/>
      <c r="I218" s="7"/>
      <c r="J218" s="7"/>
      <c r="K218" s="1"/>
      <c r="L218" s="1"/>
    </row>
    <row r="219" spans="1:12">
      <c r="A219" s="1"/>
      <c r="B219" s="1"/>
      <c r="C219" s="1" t="s">
        <v>10</v>
      </c>
      <c r="D219" s="7">
        <f t="shared" ref="D219:I219" si="33">SUM(D216:D217)</f>
        <v>7147.0000000000009</v>
      </c>
      <c r="E219" s="7">
        <f t="shared" si="33"/>
        <v>473.49</v>
      </c>
      <c r="F219" s="7">
        <f t="shared" si="33"/>
        <v>464.07</v>
      </c>
      <c r="G219" s="7">
        <f t="shared" si="33"/>
        <v>130.44999999999999</v>
      </c>
      <c r="H219" s="7">
        <f t="shared" si="33"/>
        <v>0</v>
      </c>
      <c r="I219" s="7">
        <f t="shared" si="33"/>
        <v>0</v>
      </c>
      <c r="J219" s="7">
        <f>SUM(D219:I219)</f>
        <v>8215.01</v>
      </c>
      <c r="K219" s="1"/>
      <c r="L219" s="1"/>
    </row>
    <row r="220" spans="1:12">
      <c r="A220" s="1"/>
      <c r="B220" s="1"/>
      <c r="C220" s="1"/>
      <c r="D220" s="7"/>
      <c r="E220" s="7"/>
      <c r="F220" s="7"/>
      <c r="G220" s="7"/>
      <c r="H220" s="7"/>
      <c r="I220" s="7"/>
      <c r="J220" s="7"/>
      <c r="K220" s="1"/>
      <c r="L220" s="1"/>
    </row>
    <row r="221" spans="1:12">
      <c r="A221" s="1"/>
      <c r="B221" s="1"/>
      <c r="C221" s="1"/>
      <c r="D221" s="7"/>
      <c r="E221" s="7"/>
      <c r="F221" s="7"/>
      <c r="G221" s="7"/>
      <c r="H221" s="7"/>
      <c r="I221" s="7"/>
      <c r="J221" s="7"/>
      <c r="K221" s="1"/>
      <c r="L221" s="1"/>
    </row>
    <row r="222" spans="1:12">
      <c r="A222" s="1">
        <v>57</v>
      </c>
      <c r="B222" s="1" t="s">
        <v>52</v>
      </c>
      <c r="C222" s="1" t="s">
        <v>12</v>
      </c>
      <c r="D222" s="7">
        <f>1440.02+13976.02</f>
        <v>15416.04</v>
      </c>
      <c r="E222" s="7">
        <v>517.47</v>
      </c>
      <c r="F222" s="7">
        <v>58.93</v>
      </c>
      <c r="G222" s="7">
        <v>12.36</v>
      </c>
      <c r="H222" s="7">
        <v>12.41</v>
      </c>
      <c r="I222" s="7"/>
      <c r="J222" s="7">
        <f>SUM(D222:I222)</f>
        <v>16017.210000000001</v>
      </c>
      <c r="K222" s="1"/>
      <c r="L222" s="1"/>
    </row>
    <row r="223" spans="1:12">
      <c r="A223" s="1"/>
      <c r="B223" s="1"/>
      <c r="C223" s="1" t="s">
        <v>13</v>
      </c>
      <c r="D223" s="7">
        <f>493.69+51.15</f>
        <v>544.84</v>
      </c>
      <c r="E223" s="7">
        <v>19.46</v>
      </c>
      <c r="F223" s="7">
        <v>1.46</v>
      </c>
      <c r="G223" s="7">
        <v>0.38</v>
      </c>
      <c r="H223" s="7">
        <v>0.41</v>
      </c>
      <c r="I223" s="7"/>
      <c r="J223" s="7">
        <f>SUM(D223:I223)</f>
        <v>566.55000000000007</v>
      </c>
      <c r="K223" s="1"/>
      <c r="L223" s="1"/>
    </row>
    <row r="224" spans="1:12">
      <c r="A224" s="1"/>
      <c r="B224" s="1"/>
      <c r="C224" s="1"/>
      <c r="D224" s="7"/>
      <c r="E224" s="7"/>
      <c r="F224" s="7"/>
      <c r="G224" s="7"/>
      <c r="H224" s="7"/>
      <c r="I224" s="7"/>
      <c r="J224" s="7"/>
      <c r="K224" s="1"/>
      <c r="L224" s="1"/>
    </row>
    <row r="225" spans="1:12">
      <c r="A225" s="1"/>
      <c r="B225" s="1"/>
      <c r="C225" s="1" t="s">
        <v>10</v>
      </c>
      <c r="D225" s="7">
        <f t="shared" ref="D225:I225" si="34">SUM(D222:D223)</f>
        <v>15960.880000000001</v>
      </c>
      <c r="E225" s="7">
        <f t="shared" si="34"/>
        <v>536.93000000000006</v>
      </c>
      <c r="F225" s="7">
        <f t="shared" si="34"/>
        <v>60.39</v>
      </c>
      <c r="G225" s="7">
        <f t="shared" si="34"/>
        <v>12.74</v>
      </c>
      <c r="H225" s="7">
        <f t="shared" si="34"/>
        <v>12.82</v>
      </c>
      <c r="I225" s="7">
        <f t="shared" si="34"/>
        <v>0</v>
      </c>
      <c r="J225" s="7">
        <f>SUM(D225:I225)</f>
        <v>16583.760000000002</v>
      </c>
      <c r="K225" s="1"/>
      <c r="L225" s="1"/>
    </row>
    <row r="226" spans="1:12">
      <c r="A226" s="1"/>
      <c r="B226" s="1"/>
      <c r="C226" s="1"/>
      <c r="D226" s="7"/>
      <c r="E226" s="7"/>
      <c r="F226" s="7"/>
      <c r="G226" s="7"/>
      <c r="H226" s="7"/>
      <c r="I226" s="7"/>
      <c r="J226" s="7"/>
      <c r="K226" s="1"/>
      <c r="L226" s="1"/>
    </row>
    <row r="227" spans="1:12">
      <c r="A227" s="1"/>
      <c r="B227" s="1"/>
      <c r="C227" s="1"/>
      <c r="D227" s="7"/>
      <c r="E227" s="7"/>
      <c r="F227" s="7"/>
      <c r="G227" s="7"/>
      <c r="H227" s="7"/>
      <c r="I227" s="7"/>
      <c r="J227" s="7"/>
      <c r="K227" s="1"/>
      <c r="L227" s="1"/>
    </row>
    <row r="228" spans="1:12">
      <c r="A228" s="1">
        <v>58</v>
      </c>
      <c r="B228" s="1" t="s">
        <v>53</v>
      </c>
      <c r="C228" s="1" t="s">
        <v>12</v>
      </c>
      <c r="D228" s="7">
        <v>10248.82</v>
      </c>
      <c r="E228" s="7">
        <v>752.03</v>
      </c>
      <c r="F228" s="7">
        <v>189.02</v>
      </c>
      <c r="G228" s="7">
        <v>0</v>
      </c>
      <c r="H228" s="7"/>
      <c r="I228" s="7"/>
      <c r="J228" s="7">
        <f>SUM(D228:I228)</f>
        <v>11189.87</v>
      </c>
      <c r="K228" s="1"/>
      <c r="L228" s="1"/>
    </row>
    <row r="229" spans="1:12">
      <c r="A229" s="1"/>
      <c r="B229" s="1"/>
      <c r="C229" s="1" t="s">
        <v>13</v>
      </c>
      <c r="D229" s="7"/>
      <c r="E229" s="7"/>
      <c r="F229" s="7">
        <v>5.87</v>
      </c>
      <c r="G229" s="7">
        <v>0</v>
      </c>
      <c r="H229" s="7"/>
      <c r="I229" s="7"/>
      <c r="J229" s="7">
        <f>SUM(D229:I229)</f>
        <v>5.87</v>
      </c>
      <c r="K229" s="1"/>
      <c r="L229" s="1"/>
    </row>
    <row r="230" spans="1:12">
      <c r="A230" s="1"/>
      <c r="B230" s="1"/>
      <c r="C230" s="1"/>
      <c r="D230" s="7"/>
      <c r="E230" s="7"/>
      <c r="F230" s="7"/>
      <c r="G230" s="7"/>
      <c r="H230" s="7"/>
      <c r="I230" s="7"/>
      <c r="J230" s="7"/>
      <c r="K230" s="1"/>
      <c r="L230" s="1"/>
    </row>
    <row r="231" spans="1:12">
      <c r="A231" s="1"/>
      <c r="B231" s="1"/>
      <c r="C231" s="1" t="s">
        <v>10</v>
      </c>
      <c r="D231" s="7">
        <f t="shared" ref="D231:I231" si="35">SUM(D228:D229)</f>
        <v>10248.82</v>
      </c>
      <c r="E231" s="7">
        <f t="shared" si="35"/>
        <v>752.03</v>
      </c>
      <c r="F231" s="7">
        <f t="shared" si="35"/>
        <v>194.89000000000001</v>
      </c>
      <c r="G231" s="7">
        <f t="shared" si="35"/>
        <v>0</v>
      </c>
      <c r="H231" s="7">
        <f t="shared" si="35"/>
        <v>0</v>
      </c>
      <c r="I231" s="7">
        <f t="shared" si="35"/>
        <v>0</v>
      </c>
      <c r="J231" s="7">
        <f>SUM(D231:I231)</f>
        <v>11195.74</v>
      </c>
      <c r="K231" s="1"/>
      <c r="L231" s="1"/>
    </row>
    <row r="232" spans="1:12">
      <c r="A232" s="1"/>
      <c r="B232" s="1"/>
      <c r="C232" s="1"/>
      <c r="D232" s="7"/>
      <c r="E232" s="7"/>
      <c r="F232" s="7"/>
      <c r="G232" s="7"/>
      <c r="H232" s="7"/>
      <c r="I232" s="7"/>
      <c r="J232" s="7"/>
      <c r="K232" s="1"/>
      <c r="L232" s="1"/>
    </row>
    <row r="233" spans="1:12">
      <c r="A233" s="1"/>
      <c r="B233" s="1"/>
      <c r="C233" s="1"/>
      <c r="D233" s="7"/>
      <c r="E233" s="7"/>
      <c r="F233" s="7"/>
      <c r="G233" s="7"/>
      <c r="H233" s="7"/>
      <c r="I233" s="7"/>
      <c r="J233" s="7"/>
      <c r="K233" s="1"/>
      <c r="L233" s="1"/>
    </row>
    <row r="234" spans="1:12">
      <c r="A234" s="1">
        <v>59</v>
      </c>
      <c r="B234" s="1" t="s">
        <v>54</v>
      </c>
      <c r="C234" s="1" t="s">
        <v>12</v>
      </c>
      <c r="D234" s="7">
        <f>11834.33+468.84</f>
        <v>12303.17</v>
      </c>
      <c r="E234" s="7">
        <v>489.99</v>
      </c>
      <c r="F234" s="7">
        <v>71.45</v>
      </c>
      <c r="G234" s="7">
        <v>4.78</v>
      </c>
      <c r="H234" s="7">
        <v>4.1900000000000004</v>
      </c>
      <c r="I234" s="7"/>
      <c r="J234" s="7">
        <f>SUM(D234:I234)</f>
        <v>12873.580000000002</v>
      </c>
      <c r="K234" s="1"/>
      <c r="L234" s="1"/>
    </row>
    <row r="235" spans="1:12">
      <c r="A235" s="1"/>
      <c r="B235" s="1"/>
      <c r="C235" s="1" t="s">
        <v>35</v>
      </c>
      <c r="D235" s="7">
        <f>26.04+657.38</f>
        <v>683.42</v>
      </c>
      <c r="E235" s="7">
        <v>27.77</v>
      </c>
      <c r="F235" s="7">
        <v>4.4800000000000004</v>
      </c>
      <c r="G235" s="7">
        <v>0.41</v>
      </c>
      <c r="H235" s="7">
        <v>0.53</v>
      </c>
      <c r="I235" s="7"/>
      <c r="J235" s="7">
        <f>SUM(D235:I235)</f>
        <v>716.6099999999999</v>
      </c>
      <c r="K235" s="1"/>
      <c r="L235" s="1"/>
    </row>
    <row r="236" spans="1:12">
      <c r="A236" s="1"/>
      <c r="B236" s="1"/>
      <c r="C236" s="1"/>
      <c r="D236" s="7"/>
      <c r="E236" s="7"/>
      <c r="F236" s="7"/>
      <c r="G236" s="7"/>
      <c r="H236" s="7"/>
      <c r="I236" s="7"/>
      <c r="J236" s="7"/>
      <c r="K236" s="1"/>
      <c r="L236" s="1"/>
    </row>
    <row r="237" spans="1:12">
      <c r="A237" s="1"/>
      <c r="B237" s="1"/>
      <c r="C237" s="1" t="s">
        <v>10</v>
      </c>
      <c r="D237" s="7">
        <f t="shared" ref="D237:I237" si="36">SUM(D234:D235)</f>
        <v>12986.59</v>
      </c>
      <c r="E237" s="7">
        <f t="shared" si="36"/>
        <v>517.76</v>
      </c>
      <c r="F237" s="7">
        <f t="shared" si="36"/>
        <v>75.930000000000007</v>
      </c>
      <c r="G237" s="7">
        <f t="shared" si="36"/>
        <v>5.19</v>
      </c>
      <c r="H237" s="7">
        <f t="shared" si="36"/>
        <v>4.7200000000000006</v>
      </c>
      <c r="I237" s="7">
        <f t="shared" si="36"/>
        <v>0</v>
      </c>
      <c r="J237" s="7">
        <f>SUM(D237:I237)</f>
        <v>13590.19</v>
      </c>
      <c r="K237" s="1"/>
      <c r="L237" s="1"/>
    </row>
    <row r="238" spans="1:12">
      <c r="A238" s="1"/>
      <c r="B238" s="1"/>
      <c r="C238" s="1"/>
      <c r="D238" s="7"/>
      <c r="E238" s="7"/>
      <c r="F238" s="7"/>
      <c r="G238" s="7"/>
      <c r="H238" s="7"/>
      <c r="I238" s="7"/>
      <c r="J238" s="7"/>
      <c r="K238" s="1"/>
      <c r="L238" s="1"/>
    </row>
    <row r="239" spans="1:12">
      <c r="A239" s="1"/>
      <c r="B239" s="1"/>
      <c r="C239" s="1"/>
      <c r="D239" s="7"/>
      <c r="E239" s="7"/>
      <c r="F239" s="7"/>
      <c r="G239" s="7"/>
      <c r="H239" s="7"/>
      <c r="I239" s="7"/>
      <c r="J239" s="7"/>
      <c r="K239" s="1"/>
      <c r="L239" s="1"/>
    </row>
    <row r="240" spans="1:12">
      <c r="A240" s="1">
        <v>60</v>
      </c>
      <c r="B240" s="1" t="s">
        <v>55</v>
      </c>
      <c r="C240" s="1" t="s">
        <v>12</v>
      </c>
      <c r="D240" s="7">
        <f>70.54+42776.17</f>
        <v>42846.71</v>
      </c>
      <c r="E240" s="7">
        <v>698.42</v>
      </c>
      <c r="F240" s="7">
        <v>157.4</v>
      </c>
      <c r="G240" s="7">
        <v>104.43</v>
      </c>
      <c r="H240" s="7">
        <v>12.21</v>
      </c>
      <c r="I240" s="7">
        <v>6.16</v>
      </c>
      <c r="J240" s="7">
        <f>SUM(D240:I240)</f>
        <v>43825.33</v>
      </c>
      <c r="K240" s="1"/>
      <c r="L240" s="1"/>
    </row>
    <row r="241" spans="1:12">
      <c r="A241" s="1"/>
      <c r="B241" s="1"/>
      <c r="C241" s="1"/>
      <c r="D241" s="7"/>
      <c r="E241" s="7"/>
      <c r="F241" s="7"/>
      <c r="G241" s="7"/>
      <c r="H241" s="7"/>
      <c r="I241" s="7"/>
      <c r="J241" s="7"/>
      <c r="K241" s="1"/>
      <c r="L241" s="1"/>
    </row>
    <row r="242" spans="1:12">
      <c r="A242" s="1"/>
      <c r="B242" s="1"/>
      <c r="C242" s="1" t="s">
        <v>10</v>
      </c>
      <c r="D242" s="7">
        <f t="shared" ref="D242:I242" si="37">SUM(D240:D241)</f>
        <v>42846.71</v>
      </c>
      <c r="E242" s="7">
        <f t="shared" si="37"/>
        <v>698.42</v>
      </c>
      <c r="F242" s="7">
        <f t="shared" si="37"/>
        <v>157.4</v>
      </c>
      <c r="G242" s="7">
        <f t="shared" si="37"/>
        <v>104.43</v>
      </c>
      <c r="H242" s="7">
        <f t="shared" si="37"/>
        <v>12.21</v>
      </c>
      <c r="I242" s="7">
        <f t="shared" si="37"/>
        <v>6.16</v>
      </c>
      <c r="J242" s="7">
        <f>SUM(D242:I242)</f>
        <v>43825.33</v>
      </c>
      <c r="K242" s="1"/>
      <c r="L242" s="1"/>
    </row>
    <row r="243" spans="1:12">
      <c r="A243" s="1"/>
      <c r="B243" s="1"/>
      <c r="C243" s="1"/>
      <c r="D243" s="7"/>
      <c r="E243" s="7"/>
      <c r="F243" s="7"/>
      <c r="G243" s="7"/>
      <c r="H243" s="7"/>
      <c r="I243" s="7"/>
      <c r="J243" s="7"/>
      <c r="K243" s="1"/>
      <c r="L243" s="1"/>
    </row>
    <row r="244" spans="1:12">
      <c r="A244" s="1"/>
      <c r="B244" s="1"/>
      <c r="C244" s="1"/>
      <c r="D244" s="7"/>
      <c r="E244" s="7"/>
      <c r="F244" s="7"/>
      <c r="G244" s="7"/>
      <c r="H244" s="7"/>
      <c r="I244" s="7"/>
      <c r="J244" s="7"/>
      <c r="K244" s="1"/>
      <c r="L244" s="1"/>
    </row>
    <row r="245" spans="1:12">
      <c r="A245" s="1">
        <v>61</v>
      </c>
      <c r="B245" s="1" t="s">
        <v>56</v>
      </c>
      <c r="C245" s="1" t="s">
        <v>12</v>
      </c>
      <c r="D245" s="7">
        <v>7576.32</v>
      </c>
      <c r="E245" s="7">
        <v>94.73</v>
      </c>
      <c r="F245" s="7">
        <v>0</v>
      </c>
      <c r="G245" s="7">
        <v>0</v>
      </c>
      <c r="H245" s="7"/>
      <c r="I245" s="7"/>
      <c r="J245" s="7">
        <f>SUM(D245:I245)</f>
        <v>7671.0499999999993</v>
      </c>
      <c r="K245" s="1"/>
      <c r="L245" s="1"/>
    </row>
    <row r="246" spans="1:12">
      <c r="A246" s="1"/>
      <c r="B246" s="1"/>
      <c r="C246" s="1" t="s">
        <v>13</v>
      </c>
      <c r="D246" s="7">
        <v>118.28</v>
      </c>
      <c r="E246" s="7">
        <v>1.44</v>
      </c>
      <c r="F246" s="7">
        <v>0</v>
      </c>
      <c r="G246" s="7">
        <v>0</v>
      </c>
      <c r="H246" s="7"/>
      <c r="I246" s="7"/>
      <c r="J246" s="7">
        <f>SUM(D246:I246)</f>
        <v>119.72</v>
      </c>
      <c r="K246" s="1"/>
      <c r="L246" s="1"/>
    </row>
    <row r="247" spans="1:12">
      <c r="A247" s="1"/>
      <c r="B247" s="1"/>
      <c r="C247" s="1"/>
      <c r="D247" s="7"/>
      <c r="E247" s="7"/>
      <c r="F247" s="7"/>
      <c r="G247" s="7"/>
      <c r="H247" s="7"/>
      <c r="I247" s="7"/>
      <c r="J247" s="7"/>
      <c r="K247" s="1"/>
      <c r="L247" s="1"/>
    </row>
    <row r="248" spans="1:12">
      <c r="A248" s="1"/>
      <c r="B248" s="1"/>
      <c r="C248" s="1" t="s">
        <v>10</v>
      </c>
      <c r="D248" s="7">
        <f t="shared" ref="D248:I248" si="38">SUM(D245:D246)</f>
        <v>7694.5999999999995</v>
      </c>
      <c r="E248" s="7">
        <f t="shared" si="38"/>
        <v>96.17</v>
      </c>
      <c r="F248" s="7">
        <f t="shared" si="38"/>
        <v>0</v>
      </c>
      <c r="G248" s="7">
        <f t="shared" si="38"/>
        <v>0</v>
      </c>
      <c r="H248" s="7">
        <f t="shared" si="38"/>
        <v>0</v>
      </c>
      <c r="I248" s="7">
        <f t="shared" si="38"/>
        <v>0</v>
      </c>
      <c r="J248" s="7">
        <f>SUM(D248:I248)</f>
        <v>7790.7699999999995</v>
      </c>
      <c r="K248" s="1"/>
      <c r="L248" s="1"/>
    </row>
    <row r="249" spans="1:12">
      <c r="A249" s="1"/>
      <c r="B249" s="1"/>
      <c r="C249" s="1"/>
      <c r="D249" s="7"/>
      <c r="E249" s="7"/>
      <c r="F249" s="7"/>
      <c r="G249" s="7"/>
      <c r="H249" s="7"/>
      <c r="I249" s="7"/>
      <c r="J249" s="7"/>
      <c r="K249" s="1"/>
      <c r="L249" s="1"/>
    </row>
    <row r="250" spans="1:12">
      <c r="A250" s="1"/>
      <c r="B250" s="1"/>
      <c r="C250" s="1"/>
      <c r="D250" s="7"/>
      <c r="E250" s="7"/>
      <c r="F250" s="7"/>
      <c r="G250" s="7"/>
      <c r="H250" s="7"/>
      <c r="I250" s="7"/>
      <c r="J250" s="7"/>
      <c r="K250" s="1"/>
      <c r="L250" s="1"/>
    </row>
    <row r="251" spans="1:12">
      <c r="A251" s="1">
        <v>62</v>
      </c>
      <c r="B251" s="1" t="s">
        <v>57</v>
      </c>
      <c r="C251" s="1" t="s">
        <v>12</v>
      </c>
      <c r="D251" s="7">
        <f>4412.9+416.4</f>
        <v>4829.2999999999993</v>
      </c>
      <c r="E251" s="7">
        <v>149.44999999999999</v>
      </c>
      <c r="F251" s="7">
        <v>137.09</v>
      </c>
      <c r="G251" s="7">
        <v>44</v>
      </c>
      <c r="H251" s="7"/>
      <c r="I251" s="7"/>
      <c r="J251" s="7">
        <f>SUM(D251:I251)</f>
        <v>5159.8399999999992</v>
      </c>
      <c r="K251" s="1"/>
      <c r="L251" s="1"/>
    </row>
    <row r="252" spans="1:12">
      <c r="A252" s="1"/>
      <c r="B252" s="1"/>
      <c r="C252" s="1" t="s">
        <v>13</v>
      </c>
      <c r="D252" s="7">
        <f>9.49+100.34</f>
        <v>109.83</v>
      </c>
      <c r="E252" s="7">
        <v>3.31</v>
      </c>
      <c r="F252" s="7">
        <v>3.1</v>
      </c>
      <c r="G252" s="7">
        <v>1.22</v>
      </c>
      <c r="H252" s="7"/>
      <c r="I252" s="7"/>
      <c r="J252" s="7">
        <f>SUM(D252:I252)</f>
        <v>117.46</v>
      </c>
      <c r="K252" s="1"/>
      <c r="L252" s="1"/>
    </row>
    <row r="253" spans="1:12">
      <c r="A253" s="1"/>
      <c r="B253" s="1"/>
      <c r="C253" s="1"/>
      <c r="D253" s="7"/>
      <c r="E253" s="7"/>
      <c r="F253" s="7"/>
      <c r="G253" s="7"/>
      <c r="H253" s="7"/>
      <c r="I253" s="7"/>
      <c r="J253" s="7"/>
      <c r="K253" s="1"/>
      <c r="L253" s="1"/>
    </row>
    <row r="254" spans="1:12">
      <c r="A254" s="1"/>
      <c r="B254" s="1"/>
      <c r="C254" s="1" t="s">
        <v>10</v>
      </c>
      <c r="D254" s="7">
        <f t="shared" ref="D254:I254" si="39">SUM(D251:D252)</f>
        <v>4939.1299999999992</v>
      </c>
      <c r="E254" s="7">
        <f t="shared" si="39"/>
        <v>152.76</v>
      </c>
      <c r="F254" s="7">
        <f t="shared" si="39"/>
        <v>140.19</v>
      </c>
      <c r="G254" s="7">
        <f t="shared" si="39"/>
        <v>45.22</v>
      </c>
      <c r="H254" s="7">
        <f t="shared" si="39"/>
        <v>0</v>
      </c>
      <c r="I254" s="7">
        <f t="shared" si="39"/>
        <v>0</v>
      </c>
      <c r="J254" s="7">
        <f>SUM(D254:I254)</f>
        <v>5277.2999999999993</v>
      </c>
      <c r="K254" s="1"/>
      <c r="L254" s="1"/>
    </row>
    <row r="255" spans="1:12">
      <c r="A255" s="1"/>
      <c r="B255" s="1"/>
      <c r="C255" s="1"/>
      <c r="D255" s="7"/>
      <c r="E255" s="7"/>
      <c r="F255" s="7"/>
      <c r="G255" s="7"/>
      <c r="H255" s="7"/>
      <c r="I255" s="7"/>
      <c r="J255" s="7"/>
      <c r="K255" s="1"/>
      <c r="L255" s="1"/>
    </row>
    <row r="256" spans="1:12">
      <c r="A256" s="1"/>
      <c r="B256" s="1"/>
      <c r="C256" s="1"/>
      <c r="D256" s="7"/>
      <c r="E256" s="7"/>
      <c r="F256" s="7"/>
      <c r="G256" s="7"/>
      <c r="H256" s="7"/>
      <c r="I256" s="7"/>
      <c r="J256" s="7"/>
      <c r="K256" s="1"/>
      <c r="L256" s="1"/>
    </row>
    <row r="257" spans="1:12">
      <c r="A257" s="1">
        <v>63</v>
      </c>
      <c r="B257" s="1" t="s">
        <v>58</v>
      </c>
      <c r="C257" s="1" t="s">
        <v>12</v>
      </c>
      <c r="D257" s="7">
        <f>272.07+7554.12</f>
        <v>7826.19</v>
      </c>
      <c r="E257" s="7">
        <v>470.67</v>
      </c>
      <c r="F257" s="7">
        <v>417.72</v>
      </c>
      <c r="G257" s="7">
        <v>298.44</v>
      </c>
      <c r="H257" s="7"/>
      <c r="I257" s="7"/>
      <c r="J257" s="7">
        <f>SUM(D257:I257)</f>
        <v>9013.0199999999986</v>
      </c>
      <c r="K257" s="1"/>
      <c r="L257" s="1"/>
    </row>
    <row r="258" spans="1:12">
      <c r="A258" s="1"/>
      <c r="B258" s="1"/>
      <c r="C258" s="1" t="s">
        <v>13</v>
      </c>
      <c r="D258" s="7">
        <f>602.99+21.71</f>
        <v>624.70000000000005</v>
      </c>
      <c r="E258" s="7">
        <v>35.61</v>
      </c>
      <c r="F258" s="7">
        <v>28.78</v>
      </c>
      <c r="G258" s="7">
        <v>20.83</v>
      </c>
      <c r="H258" s="7"/>
      <c r="I258" s="7"/>
      <c r="J258" s="7">
        <f>SUM(D258:I258)</f>
        <v>709.92000000000007</v>
      </c>
      <c r="K258" s="1"/>
      <c r="L258" s="1"/>
    </row>
    <row r="259" spans="1:12">
      <c r="A259" s="1"/>
      <c r="B259" s="1"/>
      <c r="C259" s="1"/>
      <c r="D259" s="7"/>
      <c r="E259" s="7"/>
      <c r="F259" s="7"/>
      <c r="G259" s="7"/>
      <c r="H259" s="7"/>
      <c r="I259" s="7"/>
      <c r="J259" s="7"/>
      <c r="K259" s="1"/>
      <c r="L259" s="1"/>
    </row>
    <row r="260" spans="1:12">
      <c r="A260" s="1"/>
      <c r="B260" s="1"/>
      <c r="C260" s="1" t="s">
        <v>10</v>
      </c>
      <c r="D260" s="7">
        <f t="shared" ref="D260:I260" si="40">SUM(D257:D258)</f>
        <v>8450.89</v>
      </c>
      <c r="E260" s="7">
        <f t="shared" si="40"/>
        <v>506.28000000000003</v>
      </c>
      <c r="F260" s="7">
        <f t="shared" si="40"/>
        <v>446.5</v>
      </c>
      <c r="G260" s="7">
        <f t="shared" si="40"/>
        <v>319.27</v>
      </c>
      <c r="H260" s="7">
        <f t="shared" si="40"/>
        <v>0</v>
      </c>
      <c r="I260" s="7">
        <f t="shared" si="40"/>
        <v>0</v>
      </c>
      <c r="J260" s="7">
        <f>SUM(D260:I260)</f>
        <v>9722.94</v>
      </c>
      <c r="K260" s="1"/>
      <c r="L260" s="1"/>
    </row>
    <row r="261" spans="1:12">
      <c r="A261" s="1"/>
      <c r="B261" s="1"/>
      <c r="C261" s="1"/>
      <c r="D261" s="7"/>
      <c r="E261" s="7"/>
      <c r="F261" s="7"/>
      <c r="G261" s="7"/>
      <c r="H261" s="7"/>
      <c r="I261" s="7"/>
      <c r="J261" s="7"/>
      <c r="K261" s="1"/>
      <c r="L261" s="1"/>
    </row>
    <row r="262" spans="1:12">
      <c r="A262" s="1"/>
      <c r="B262" s="1"/>
      <c r="C262" s="1"/>
      <c r="D262" s="7"/>
      <c r="E262" s="7"/>
      <c r="F262" s="7"/>
      <c r="G262" s="7"/>
      <c r="H262" s="7"/>
      <c r="I262" s="7"/>
      <c r="J262" s="7"/>
      <c r="K262" s="1"/>
      <c r="L262" s="1"/>
    </row>
    <row r="263" spans="1:12">
      <c r="A263" s="1">
        <v>64</v>
      </c>
      <c r="B263" s="1" t="s">
        <v>59</v>
      </c>
      <c r="C263" s="1" t="s">
        <v>12</v>
      </c>
      <c r="D263" s="7">
        <f>225.21+37632.57</f>
        <v>37857.78</v>
      </c>
      <c r="E263" s="7">
        <v>1318.33</v>
      </c>
      <c r="F263" s="7">
        <v>351.13</v>
      </c>
      <c r="G263" s="7">
        <v>257.87</v>
      </c>
      <c r="H263" s="7">
        <v>189.73</v>
      </c>
      <c r="I263" s="7"/>
      <c r="J263" s="7">
        <f>SUM(D263:I263)</f>
        <v>39974.840000000004</v>
      </c>
      <c r="K263" s="1"/>
      <c r="L263" s="1"/>
    </row>
    <row r="264" spans="1:12">
      <c r="A264" s="1"/>
      <c r="B264" s="1"/>
      <c r="C264" s="1"/>
      <c r="D264" s="7"/>
      <c r="E264" s="7"/>
      <c r="F264" s="7"/>
      <c r="G264" s="7"/>
      <c r="H264" s="7"/>
      <c r="I264" s="7"/>
      <c r="J264" s="7"/>
      <c r="K264" s="1"/>
      <c r="L264" s="1"/>
    </row>
    <row r="265" spans="1:12">
      <c r="A265" s="1"/>
      <c r="B265" s="1"/>
      <c r="C265" s="1" t="s">
        <v>10</v>
      </c>
      <c r="D265" s="7">
        <f t="shared" ref="D265:I265" si="41">SUM(D263:D264)</f>
        <v>37857.78</v>
      </c>
      <c r="E265" s="7">
        <f t="shared" si="41"/>
        <v>1318.33</v>
      </c>
      <c r="F265" s="7">
        <f t="shared" si="41"/>
        <v>351.13</v>
      </c>
      <c r="G265" s="7">
        <f t="shared" si="41"/>
        <v>257.87</v>
      </c>
      <c r="H265" s="7">
        <f t="shared" si="41"/>
        <v>189.73</v>
      </c>
      <c r="I265" s="7">
        <f t="shared" si="41"/>
        <v>0</v>
      </c>
      <c r="J265" s="7">
        <f>SUM(D265:I265)</f>
        <v>39974.840000000004</v>
      </c>
      <c r="K265" s="1"/>
      <c r="L265" s="1"/>
    </row>
    <row r="266" spans="1:12">
      <c r="A266" s="1"/>
      <c r="B266" s="1"/>
      <c r="C266" s="1"/>
      <c r="D266" s="7"/>
      <c r="E266" s="7"/>
      <c r="F266" s="7"/>
      <c r="G266" s="7"/>
      <c r="H266" s="7"/>
      <c r="I266" s="7"/>
      <c r="J266" s="7"/>
      <c r="K266" s="1"/>
      <c r="L266" s="1"/>
    </row>
    <row r="267" spans="1:12">
      <c r="A267" s="1"/>
      <c r="B267" s="4"/>
      <c r="C267" s="4"/>
      <c r="D267" s="5"/>
      <c r="E267" s="5"/>
      <c r="F267" s="5"/>
      <c r="G267" s="5"/>
      <c r="H267" s="6"/>
      <c r="I267" s="6"/>
      <c r="J267" s="5"/>
      <c r="K267" s="1"/>
      <c r="L267" s="1"/>
    </row>
    <row r="268" spans="1:12">
      <c r="A268" s="1">
        <v>65</v>
      </c>
      <c r="B268" s="1" t="s">
        <v>60</v>
      </c>
      <c r="C268" s="1" t="s">
        <v>12</v>
      </c>
      <c r="D268" s="7">
        <f>458.52+5202.58</f>
        <v>5661.1</v>
      </c>
      <c r="E268" s="7">
        <v>173.33</v>
      </c>
      <c r="F268" s="7">
        <v>15.11</v>
      </c>
      <c r="G268" s="7"/>
      <c r="H268" s="7"/>
      <c r="I268" s="7"/>
      <c r="J268" s="7">
        <f>SUM(D268:I268)</f>
        <v>5849.54</v>
      </c>
      <c r="K268" s="1"/>
      <c r="L268" s="1"/>
    </row>
    <row r="269" spans="1:12">
      <c r="A269" s="1"/>
      <c r="B269" s="1"/>
      <c r="C269" s="1" t="s">
        <v>13</v>
      </c>
      <c r="D269" s="7"/>
      <c r="E269" s="7"/>
      <c r="F269" s="7"/>
      <c r="G269" s="7"/>
      <c r="H269" s="7"/>
      <c r="I269" s="7"/>
      <c r="J269" s="7"/>
      <c r="K269" s="1"/>
      <c r="L269" s="1"/>
    </row>
    <row r="270" spans="1:12">
      <c r="A270" s="1"/>
      <c r="B270" s="1"/>
      <c r="C270" s="1"/>
      <c r="D270" s="7"/>
      <c r="E270" s="7"/>
      <c r="F270" s="7"/>
      <c r="G270" s="7"/>
      <c r="H270" s="7"/>
      <c r="I270" s="7"/>
      <c r="J270" s="7"/>
      <c r="K270" s="1"/>
      <c r="L270" s="1"/>
    </row>
    <row r="271" spans="1:12">
      <c r="A271" s="1"/>
      <c r="B271" s="1"/>
      <c r="C271" s="1" t="s">
        <v>10</v>
      </c>
      <c r="D271" s="7">
        <f t="shared" ref="D271:I271" si="42">SUM(D268:D269)</f>
        <v>5661.1</v>
      </c>
      <c r="E271" s="7">
        <f t="shared" si="42"/>
        <v>173.33</v>
      </c>
      <c r="F271" s="7">
        <f t="shared" si="42"/>
        <v>15.11</v>
      </c>
      <c r="G271" s="7">
        <f t="shared" si="42"/>
        <v>0</v>
      </c>
      <c r="H271" s="7">
        <f t="shared" si="42"/>
        <v>0</v>
      </c>
      <c r="I271" s="7">
        <f t="shared" si="42"/>
        <v>0</v>
      </c>
      <c r="J271" s="7">
        <f>SUM(D271:I271)</f>
        <v>5849.54</v>
      </c>
      <c r="K271" s="1"/>
      <c r="L271" s="1"/>
    </row>
    <row r="272" spans="1:12">
      <c r="A272" s="1"/>
      <c r="B272" s="1"/>
      <c r="C272" s="1"/>
      <c r="D272" s="7"/>
      <c r="E272" s="7"/>
      <c r="F272" s="7"/>
      <c r="G272" s="7"/>
      <c r="H272" s="7"/>
      <c r="I272" s="7"/>
      <c r="J272" s="7"/>
      <c r="K272" s="1"/>
      <c r="L272" s="1"/>
    </row>
    <row r="273" spans="1:12">
      <c r="A273" s="1"/>
      <c r="B273" s="1"/>
      <c r="C273" s="1"/>
      <c r="D273" s="7"/>
      <c r="E273" s="7"/>
      <c r="F273" s="7"/>
      <c r="G273" s="7"/>
      <c r="H273" s="7"/>
      <c r="I273" s="7"/>
      <c r="J273" s="7"/>
      <c r="K273" s="1"/>
      <c r="L273" s="1"/>
    </row>
    <row r="274" spans="1:12">
      <c r="A274" s="1">
        <v>66</v>
      </c>
      <c r="B274" s="1" t="s">
        <v>61</v>
      </c>
      <c r="C274" s="1" t="s">
        <v>12</v>
      </c>
      <c r="D274" s="7">
        <v>9868.69</v>
      </c>
      <c r="E274" s="7">
        <v>585.62</v>
      </c>
      <c r="F274" s="7">
        <v>510.53</v>
      </c>
      <c r="G274" s="7">
        <v>410.15</v>
      </c>
      <c r="H274" s="7">
        <v>390.87</v>
      </c>
      <c r="I274" s="7"/>
      <c r="J274" s="7">
        <f>SUM(D274:I274)</f>
        <v>11765.860000000002</v>
      </c>
      <c r="K274" s="1"/>
      <c r="L274" s="1"/>
    </row>
    <row r="275" spans="1:12">
      <c r="A275" s="1"/>
      <c r="B275" s="1"/>
      <c r="C275" s="1" t="s">
        <v>13</v>
      </c>
      <c r="D275" s="7"/>
      <c r="E275" s="7"/>
      <c r="F275" s="7">
        <v>8.25</v>
      </c>
      <c r="G275" s="7">
        <v>27.3</v>
      </c>
      <c r="H275" s="7">
        <v>38.630000000000003</v>
      </c>
      <c r="I275" s="7"/>
      <c r="J275" s="7">
        <f>SUM(D275:I275)</f>
        <v>74.180000000000007</v>
      </c>
      <c r="K275" s="1"/>
      <c r="L275" s="1"/>
    </row>
    <row r="276" spans="1:12">
      <c r="A276" s="1"/>
      <c r="B276" s="1"/>
      <c r="C276" s="1" t="s">
        <v>73</v>
      </c>
      <c r="D276" s="1">
        <v>676.13</v>
      </c>
      <c r="E276" s="1">
        <v>40.049999999999997</v>
      </c>
      <c r="F276" s="1">
        <v>33.78</v>
      </c>
      <c r="G276" s="1">
        <v>27.29</v>
      </c>
      <c r="H276" s="1">
        <v>25.87</v>
      </c>
      <c r="I276" s="1"/>
      <c r="J276" s="7">
        <f>SUM(D276:I276)</f>
        <v>803.11999999999989</v>
      </c>
      <c r="K276" s="1"/>
      <c r="L276" s="1"/>
    </row>
    <row r="277" spans="1:12">
      <c r="A277" s="1"/>
      <c r="B277" s="1"/>
      <c r="C277" s="1"/>
      <c r="D277" s="1"/>
      <c r="E277" s="1"/>
      <c r="F277" s="1"/>
      <c r="G277" s="1"/>
      <c r="H277" s="1"/>
      <c r="I277" s="1"/>
      <c r="J277" s="7"/>
      <c r="K277" s="1"/>
      <c r="L277" s="1"/>
    </row>
    <row r="278" spans="1:12">
      <c r="A278" s="1"/>
      <c r="B278" s="1"/>
      <c r="C278" s="1" t="s">
        <v>10</v>
      </c>
      <c r="D278" s="7">
        <f t="shared" ref="D278:I278" si="43">SUM(D274:D276)</f>
        <v>10544.82</v>
      </c>
      <c r="E278" s="7">
        <f t="shared" si="43"/>
        <v>625.66999999999996</v>
      </c>
      <c r="F278" s="7">
        <f t="shared" si="43"/>
        <v>552.55999999999995</v>
      </c>
      <c r="G278" s="7">
        <f t="shared" si="43"/>
        <v>464.74</v>
      </c>
      <c r="H278" s="7">
        <f t="shared" si="43"/>
        <v>455.37</v>
      </c>
      <c r="I278" s="7">
        <f t="shared" si="43"/>
        <v>0</v>
      </c>
      <c r="J278" s="7">
        <f>SUM(D278:I278)</f>
        <v>12643.16</v>
      </c>
      <c r="K278" s="1"/>
      <c r="L278" s="1"/>
    </row>
    <row r="279" spans="1:12">
      <c r="A279" s="1"/>
      <c r="B279" s="1"/>
      <c r="C279" s="1"/>
      <c r="D279" s="7"/>
      <c r="E279" s="7"/>
      <c r="F279" s="7"/>
      <c r="G279" s="7"/>
      <c r="H279" s="7"/>
      <c r="I279" s="7"/>
      <c r="J279" s="7"/>
      <c r="K279" s="1"/>
      <c r="L279" s="1"/>
    </row>
    <row r="280" spans="1:12">
      <c r="A280" s="1"/>
      <c r="B280" s="1"/>
      <c r="C280" s="1"/>
      <c r="D280" s="7"/>
      <c r="E280" s="7"/>
      <c r="F280" s="7"/>
      <c r="G280" s="7"/>
      <c r="H280" s="7"/>
      <c r="I280" s="7"/>
      <c r="J280" s="7"/>
      <c r="K280" s="1"/>
      <c r="L280" s="1"/>
    </row>
    <row r="281" spans="1:12">
      <c r="A281" s="1">
        <v>67</v>
      </c>
      <c r="B281" s="1" t="s">
        <v>62</v>
      </c>
      <c r="C281" s="1" t="s">
        <v>12</v>
      </c>
      <c r="D281" s="7">
        <f>96.79+5956.54</f>
        <v>6053.33</v>
      </c>
      <c r="E281" s="7">
        <v>381.09</v>
      </c>
      <c r="F281" s="7">
        <v>166.81</v>
      </c>
      <c r="G281" s="7">
        <v>141.81</v>
      </c>
      <c r="H281" s="7">
        <v>28.93</v>
      </c>
      <c r="I281" s="7"/>
      <c r="J281" s="7">
        <f>SUM(D281:I281)</f>
        <v>6771.9700000000012</v>
      </c>
      <c r="K281" s="1"/>
      <c r="L281" s="1"/>
    </row>
    <row r="282" spans="1:12">
      <c r="A282" s="1"/>
      <c r="B282" s="1"/>
      <c r="C282" s="1" t="s">
        <v>13</v>
      </c>
      <c r="D282" s="7">
        <f>238.22+3.87</f>
        <v>242.09</v>
      </c>
      <c r="E282" s="7">
        <v>16.41</v>
      </c>
      <c r="F282" s="7">
        <v>4.08</v>
      </c>
      <c r="G282" s="7">
        <v>3.24</v>
      </c>
      <c r="H282" s="7">
        <v>0.74</v>
      </c>
      <c r="I282" s="7"/>
      <c r="J282" s="7">
        <f>SUM(D282:I282)</f>
        <v>266.56</v>
      </c>
      <c r="K282" s="1"/>
      <c r="L282" s="1"/>
    </row>
    <row r="283" spans="1:12">
      <c r="A283" s="1"/>
      <c r="B283" s="1"/>
      <c r="C283" s="1"/>
      <c r="D283" s="7"/>
      <c r="E283" s="7"/>
      <c r="F283" s="7"/>
      <c r="G283" s="7"/>
      <c r="H283" s="7"/>
      <c r="I283" s="7"/>
      <c r="J283" s="7"/>
      <c r="K283" s="1"/>
      <c r="L283" s="1"/>
    </row>
    <row r="284" spans="1:12">
      <c r="A284" s="1"/>
      <c r="B284" s="1"/>
      <c r="C284" s="1" t="s">
        <v>10</v>
      </c>
      <c r="D284" s="7">
        <f t="shared" ref="D284:I284" si="44">SUM(D281:D282)</f>
        <v>6295.42</v>
      </c>
      <c r="E284" s="7">
        <f t="shared" si="44"/>
        <v>397.5</v>
      </c>
      <c r="F284" s="7">
        <f t="shared" si="44"/>
        <v>170.89000000000001</v>
      </c>
      <c r="G284" s="7">
        <f t="shared" si="44"/>
        <v>145.05000000000001</v>
      </c>
      <c r="H284" s="7">
        <f t="shared" si="44"/>
        <v>29.669999999999998</v>
      </c>
      <c r="I284" s="7">
        <f t="shared" si="44"/>
        <v>0</v>
      </c>
      <c r="J284" s="7">
        <f>SUM(D284:I284)</f>
        <v>7038.5300000000007</v>
      </c>
      <c r="K284" s="1"/>
      <c r="L284" s="1"/>
    </row>
    <row r="285" spans="1:12">
      <c r="A285" s="1"/>
      <c r="B285" s="1"/>
      <c r="C285" s="1"/>
      <c r="D285" s="7"/>
      <c r="E285" s="7"/>
      <c r="F285" s="7"/>
      <c r="G285" s="7"/>
      <c r="H285" s="7"/>
      <c r="I285" s="7"/>
      <c r="J285" s="7"/>
      <c r="K285" s="1"/>
      <c r="L285" s="1"/>
    </row>
    <row r="286" spans="1:12">
      <c r="A286" s="1"/>
      <c r="B286" s="1"/>
      <c r="C286" s="1"/>
      <c r="D286" s="7"/>
      <c r="E286" s="7"/>
      <c r="F286" s="7"/>
      <c r="G286" s="7"/>
      <c r="H286" s="7"/>
      <c r="I286" s="7"/>
      <c r="J286" s="7"/>
      <c r="K286" s="1"/>
      <c r="L286" s="1"/>
    </row>
    <row r="287" spans="1:12">
      <c r="A287" s="1">
        <v>68</v>
      </c>
      <c r="B287" s="1" t="s">
        <v>63</v>
      </c>
      <c r="C287" s="1" t="s">
        <v>12</v>
      </c>
      <c r="D287" s="7">
        <f>472.14+6675.01</f>
        <v>7147.1500000000005</v>
      </c>
      <c r="E287" s="7">
        <v>94</v>
      </c>
      <c r="F287" s="7">
        <v>94.31</v>
      </c>
      <c r="G287" s="7">
        <v>73.239999999999995</v>
      </c>
      <c r="H287" s="7">
        <v>52.96</v>
      </c>
      <c r="I287" s="7"/>
      <c r="J287" s="7">
        <f>SUM(D287:I287)</f>
        <v>7461.6600000000008</v>
      </c>
      <c r="K287" s="1"/>
      <c r="L287" s="1"/>
    </row>
    <row r="288" spans="1:12">
      <c r="A288" s="1"/>
      <c r="B288" s="1"/>
      <c r="C288" s="1" t="s">
        <v>13</v>
      </c>
      <c r="D288" s="7"/>
      <c r="E288" s="7">
        <v>5.4</v>
      </c>
      <c r="F288" s="7">
        <v>7.99</v>
      </c>
      <c r="G288" s="7">
        <v>3.65</v>
      </c>
      <c r="H288" s="7">
        <v>4.1900000000000004</v>
      </c>
      <c r="I288" s="7"/>
      <c r="J288" s="7">
        <f>SUM(D288:I288)</f>
        <v>21.23</v>
      </c>
      <c r="K288" s="1"/>
      <c r="L288" s="1"/>
    </row>
    <row r="289" spans="1:12">
      <c r="A289" s="1"/>
      <c r="B289" s="1"/>
      <c r="C289" s="1"/>
      <c r="D289" s="7"/>
      <c r="E289" s="7"/>
      <c r="F289" s="7"/>
      <c r="G289" s="7"/>
      <c r="H289" s="7"/>
      <c r="I289" s="7"/>
      <c r="J289" s="7"/>
      <c r="K289" s="1"/>
      <c r="L289" s="1"/>
    </row>
    <row r="290" spans="1:12">
      <c r="A290" s="1"/>
      <c r="B290" s="1"/>
      <c r="C290" s="1" t="s">
        <v>10</v>
      </c>
      <c r="D290" s="7">
        <f t="shared" ref="D290:I290" si="45">SUM(D287:D288)</f>
        <v>7147.1500000000005</v>
      </c>
      <c r="E290" s="7">
        <f t="shared" si="45"/>
        <v>99.4</v>
      </c>
      <c r="F290" s="7">
        <f t="shared" si="45"/>
        <v>102.3</v>
      </c>
      <c r="G290" s="7">
        <f t="shared" si="45"/>
        <v>76.89</v>
      </c>
      <c r="H290" s="7">
        <f t="shared" si="45"/>
        <v>57.15</v>
      </c>
      <c r="I290" s="7">
        <f t="shared" si="45"/>
        <v>0</v>
      </c>
      <c r="J290" s="7">
        <f>SUM(D290:I290)</f>
        <v>7482.89</v>
      </c>
      <c r="K290" s="1"/>
      <c r="L290" s="1"/>
    </row>
    <row r="291" spans="1:12">
      <c r="A291" s="1"/>
      <c r="B291" s="1"/>
      <c r="C291" s="1"/>
      <c r="D291" s="7"/>
      <c r="E291" s="7"/>
      <c r="F291" s="7"/>
      <c r="G291" s="7"/>
      <c r="H291" s="7"/>
      <c r="I291" s="7"/>
      <c r="J291" s="7"/>
      <c r="K291" s="1"/>
      <c r="L291" s="1"/>
    </row>
    <row r="292" spans="1:12">
      <c r="A292" s="1"/>
      <c r="B292" s="1"/>
      <c r="C292" s="1"/>
      <c r="D292" s="7"/>
      <c r="E292" s="7"/>
      <c r="F292" s="7"/>
      <c r="G292" s="7"/>
      <c r="H292" s="7"/>
      <c r="I292" s="7"/>
      <c r="J292" s="7"/>
      <c r="K292" s="1"/>
      <c r="L292" s="1"/>
    </row>
    <row r="293" spans="1:12">
      <c r="A293" s="1">
        <v>69</v>
      </c>
      <c r="B293" s="1" t="s">
        <v>64</v>
      </c>
      <c r="C293" s="1" t="s">
        <v>12</v>
      </c>
      <c r="D293" s="7">
        <f>257.36+8087.15</f>
        <v>8344.51</v>
      </c>
      <c r="E293" s="7">
        <v>59.34</v>
      </c>
      <c r="F293" s="7">
        <v>38.42</v>
      </c>
      <c r="G293" s="7">
        <v>39.44</v>
      </c>
      <c r="H293" s="7">
        <v>29.91</v>
      </c>
      <c r="I293" s="7"/>
      <c r="J293" s="7">
        <f>SUM(D293:I293)</f>
        <v>8511.6200000000008</v>
      </c>
      <c r="K293" s="1"/>
      <c r="L293" s="1"/>
    </row>
    <row r="294" spans="1:12">
      <c r="A294" s="1"/>
      <c r="B294" s="1"/>
      <c r="C294" s="1" t="s">
        <v>13</v>
      </c>
      <c r="D294" s="7"/>
      <c r="E294" s="7"/>
      <c r="F294" s="7"/>
      <c r="G294" s="7"/>
      <c r="H294" s="7"/>
      <c r="I294" s="7"/>
      <c r="J294" s="7"/>
      <c r="K294" s="1"/>
      <c r="L294" s="1"/>
    </row>
    <row r="295" spans="1:12">
      <c r="A295" s="1"/>
      <c r="B295" s="1"/>
      <c r="C295" s="1"/>
      <c r="D295" s="7"/>
      <c r="E295" s="7"/>
      <c r="F295" s="7"/>
      <c r="G295" s="7"/>
      <c r="H295" s="7"/>
      <c r="I295" s="7"/>
      <c r="J295" s="7"/>
      <c r="K295" s="1"/>
      <c r="L295" s="1"/>
    </row>
    <row r="296" spans="1:12">
      <c r="A296" s="1"/>
      <c r="B296" s="1"/>
      <c r="C296" s="1" t="s">
        <v>10</v>
      </c>
      <c r="D296" s="7">
        <f t="shared" ref="D296:I296" si="46">SUM(D293:D294)</f>
        <v>8344.51</v>
      </c>
      <c r="E296" s="7">
        <f t="shared" si="46"/>
        <v>59.34</v>
      </c>
      <c r="F296" s="7">
        <f t="shared" si="46"/>
        <v>38.42</v>
      </c>
      <c r="G296" s="7">
        <f t="shared" si="46"/>
        <v>39.44</v>
      </c>
      <c r="H296" s="7">
        <f t="shared" si="46"/>
        <v>29.91</v>
      </c>
      <c r="I296" s="7">
        <f t="shared" si="46"/>
        <v>0</v>
      </c>
      <c r="J296" s="7">
        <f>SUM(D296:I296)</f>
        <v>8511.6200000000008</v>
      </c>
      <c r="K296" s="1"/>
      <c r="L296" s="1"/>
    </row>
    <row r="297" spans="1:12">
      <c r="A297" s="1"/>
      <c r="B297" s="1"/>
      <c r="C297" s="1"/>
      <c r="D297" s="7"/>
      <c r="E297" s="7"/>
      <c r="F297" s="7"/>
      <c r="G297" s="7"/>
      <c r="H297" s="7"/>
      <c r="I297" s="7"/>
      <c r="J297" s="7"/>
      <c r="K297" s="1"/>
      <c r="L297" s="1"/>
    </row>
    <row r="298" spans="1:12">
      <c r="A298" s="1"/>
      <c r="B298" s="1"/>
      <c r="C298" s="1"/>
      <c r="D298" s="7"/>
      <c r="E298" s="7"/>
      <c r="F298" s="7"/>
      <c r="G298" s="7"/>
      <c r="H298" s="7"/>
      <c r="I298" s="7"/>
      <c r="J298" s="7"/>
      <c r="K298" s="1"/>
      <c r="L298" s="1"/>
    </row>
    <row r="299" spans="1:12">
      <c r="A299" s="1">
        <v>70</v>
      </c>
      <c r="B299" s="1" t="s">
        <v>65</v>
      </c>
      <c r="C299" s="1" t="s">
        <v>12</v>
      </c>
      <c r="D299" s="7">
        <f>317.57+7843.01</f>
        <v>8160.58</v>
      </c>
      <c r="E299" s="7">
        <v>451.82</v>
      </c>
      <c r="F299" s="7">
        <v>183.69</v>
      </c>
      <c r="G299" s="7">
        <v>38.880000000000003</v>
      </c>
      <c r="H299" s="7"/>
      <c r="I299" s="7"/>
      <c r="J299" s="7">
        <f>SUM(D299:I299)</f>
        <v>8834.9699999999993</v>
      </c>
      <c r="K299" s="1"/>
      <c r="L299" s="1"/>
    </row>
    <row r="300" spans="1:12">
      <c r="A300" s="1"/>
      <c r="B300" s="1"/>
      <c r="C300" s="1" t="s">
        <v>87</v>
      </c>
      <c r="D300" s="7"/>
      <c r="E300" s="7">
        <v>14.76</v>
      </c>
      <c r="F300" s="7"/>
      <c r="G300" s="7"/>
      <c r="H300" s="7"/>
      <c r="I300" s="7"/>
      <c r="J300" s="7">
        <f>SUM(D300:I300)</f>
        <v>14.76</v>
      </c>
      <c r="K300" s="1"/>
      <c r="L300" s="1"/>
    </row>
    <row r="301" spans="1:12">
      <c r="A301" s="1"/>
      <c r="B301" s="1"/>
      <c r="C301" s="1"/>
      <c r="D301" s="7"/>
      <c r="E301" s="7"/>
      <c r="F301" s="7"/>
      <c r="G301" s="7"/>
      <c r="H301" s="7"/>
      <c r="I301" s="7"/>
      <c r="J301" s="7"/>
      <c r="K301" s="1"/>
      <c r="L301" s="1"/>
    </row>
    <row r="302" spans="1:12">
      <c r="A302" s="1"/>
      <c r="B302" s="1"/>
      <c r="C302" s="1" t="s">
        <v>10</v>
      </c>
      <c r="D302" s="7">
        <f t="shared" ref="D302:I302" si="47">SUM(D299:D301)</f>
        <v>8160.58</v>
      </c>
      <c r="E302" s="7">
        <f t="shared" si="47"/>
        <v>466.58</v>
      </c>
      <c r="F302" s="7">
        <f t="shared" si="47"/>
        <v>183.69</v>
      </c>
      <c r="G302" s="7">
        <f t="shared" si="47"/>
        <v>38.880000000000003</v>
      </c>
      <c r="H302" s="7">
        <f t="shared" si="47"/>
        <v>0</v>
      </c>
      <c r="I302" s="7">
        <f t="shared" si="47"/>
        <v>0</v>
      </c>
      <c r="J302" s="7">
        <f>SUM(D302:I302)</f>
        <v>8849.73</v>
      </c>
      <c r="K302" s="1"/>
      <c r="L302" s="1"/>
    </row>
    <row r="303" spans="1:12">
      <c r="A303" s="1"/>
      <c r="B303" s="1"/>
      <c r="C303" s="1"/>
      <c r="D303" s="7"/>
      <c r="E303" s="7"/>
      <c r="F303" s="7"/>
      <c r="G303" s="7"/>
      <c r="H303" s="7"/>
      <c r="I303" s="7"/>
      <c r="J303" s="7"/>
      <c r="K303" s="1"/>
      <c r="L303" s="1"/>
    </row>
    <row r="304" spans="1:12">
      <c r="A304" s="1"/>
      <c r="B304" s="1"/>
      <c r="C304" s="1" t="s">
        <v>66</v>
      </c>
      <c r="D304" s="7">
        <f t="shared" ref="D304:I304" si="48">SUM(D9:D302)/2</f>
        <v>487402.6399999999</v>
      </c>
      <c r="E304" s="7">
        <f t="shared" si="48"/>
        <v>15001.069999999994</v>
      </c>
      <c r="F304" s="7">
        <f t="shared" si="48"/>
        <v>6256.37</v>
      </c>
      <c r="G304" s="7">
        <f t="shared" si="48"/>
        <v>3471.18</v>
      </c>
      <c r="H304" s="7">
        <f t="shared" si="48"/>
        <v>1699.8299999999995</v>
      </c>
      <c r="I304" s="7">
        <f t="shared" si="48"/>
        <v>79.55</v>
      </c>
      <c r="J304" s="7">
        <f>SUM(D304:I304)</f>
        <v>513910.6399999999</v>
      </c>
      <c r="K304" s="1"/>
      <c r="L304" s="1"/>
    </row>
    <row r="305" spans="1:12">
      <c r="A305" s="1"/>
      <c r="B305" s="1"/>
      <c r="C305" s="1"/>
      <c r="D305" s="1">
        <f>487402.64-D304</f>
        <v>0</v>
      </c>
      <c r="E305" s="1"/>
      <c r="F305" s="1"/>
      <c r="G305" s="1"/>
      <c r="H305" s="1"/>
      <c r="I305" s="1"/>
      <c r="J305" s="1"/>
      <c r="K305" s="1"/>
      <c r="L305" s="1"/>
    </row>
    <row r="306" spans="1:1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</sheetData>
  <phoneticPr fontId="0" type="noConversion"/>
  <pageMargins left="0.25" right="0.25" top="0.25" bottom="0.25" header="0.5" footer="0.5"/>
  <pageSetup orientation="landscape" r:id="rId1"/>
  <headerFooter alignWithMargins="0"/>
  <rowBreaks count="51" manualBreakCount="51">
    <brk id="7" max="65535" man="1"/>
    <brk id="12" max="65535" man="1"/>
    <brk id="18" max="65535" man="1"/>
    <brk id="24" max="65535" man="1"/>
    <brk id="30" max="65535" man="1"/>
    <brk id="36" max="65535" man="1"/>
    <brk id="43" max="65535" man="1"/>
    <brk id="49" max="65535" man="1"/>
    <brk id="56" max="65535" man="1"/>
    <brk id="62" max="65535" man="1"/>
    <brk id="68" max="65535" man="1"/>
    <brk id="75" max="65535" man="1"/>
    <brk id="82" max="65535" man="1"/>
    <brk id="89" max="65535" man="1"/>
    <brk id="94" max="65535" man="1"/>
    <brk id="100" max="65535" man="1"/>
    <brk id="105" max="65535" man="1"/>
    <brk id="111" max="65535" man="1"/>
    <brk id="117" max="65535" man="1"/>
    <brk id="121" max="65535" man="1"/>
    <brk id="127" max="65535" man="1"/>
    <brk id="133" max="65535" man="1"/>
    <brk id="140" max="65535" man="1"/>
    <brk id="146" max="65535" man="1"/>
    <brk id="151" max="65535" man="1"/>
    <brk id="156" max="65535" man="1"/>
    <brk id="162" max="65535" man="1"/>
    <brk id="167" max="65535" man="1"/>
    <brk id="172" max="65535" man="1"/>
    <brk id="178" max="65535" man="1"/>
    <brk id="185" max="65535" man="1"/>
    <brk id="191" max="65535" man="1"/>
    <brk id="197" max="65535" man="1"/>
    <brk id="202" max="65535" man="1"/>
    <brk id="208" max="65535" man="1"/>
    <brk id="214" max="65535" man="1"/>
    <brk id="220" max="65535" man="1"/>
    <brk id="226" max="65535" man="1"/>
    <brk id="232" max="65535" man="1"/>
    <brk id="237" max="65535" man="1"/>
    <brk id="243" max="65535" man="1"/>
    <brk id="249" max="65535" man="1"/>
    <brk id="255" max="65535" man="1"/>
    <brk id="260" max="65535" man="1"/>
    <brk id="266" max="65535" man="1"/>
    <brk id="273" max="65535" man="1"/>
    <brk id="279" max="65535" man="1"/>
    <brk id="285" max="65535" man="1"/>
    <brk id="290" max="65535" man="1"/>
    <brk id="297" max="65535" man="1"/>
    <brk id="302" max="6553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1:M307"/>
  <sheetViews>
    <sheetView showOutlineSymbols="0" defaultGridColor="0" colorId="23" zoomScale="75" workbookViewId="0">
      <selection activeCell="A8" sqref="A8"/>
    </sheetView>
  </sheetViews>
  <sheetFormatPr defaultColWidth="9.6640625" defaultRowHeight="15"/>
  <cols>
    <col min="1" max="1" width="9.6640625" style="10" customWidth="1"/>
    <col min="2" max="2" width="16.6640625" style="10" customWidth="1"/>
    <col min="3" max="3" width="21.6640625" style="10" customWidth="1"/>
    <col min="4" max="4" width="12.6640625" style="10" customWidth="1"/>
    <col min="5" max="6" width="11.6640625" style="10" customWidth="1"/>
    <col min="7" max="10" width="9.6640625" style="10" customWidth="1"/>
    <col min="11" max="11" width="12.6640625" style="10" customWidth="1"/>
    <col min="12" max="16384" width="9.6640625" style="10"/>
  </cols>
  <sheetData>
    <row r="1" spans="1:13">
      <c r="A1" s="8"/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 t="s">
        <v>82</v>
      </c>
    </row>
    <row r="2" spans="1:1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>
      <c r="A3" s="8"/>
      <c r="B3" s="8" t="s">
        <v>88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15.75">
      <c r="A4" s="8"/>
      <c r="B4" s="11" t="s">
        <v>1</v>
      </c>
      <c r="C4" s="9"/>
      <c r="D4" s="9"/>
      <c r="E4" s="9"/>
      <c r="F4" s="9"/>
      <c r="G4" s="9"/>
      <c r="H4" s="9"/>
      <c r="I4" s="9"/>
      <c r="J4" s="9"/>
      <c r="K4" s="9"/>
      <c r="L4" s="8"/>
      <c r="M4" s="8"/>
    </row>
    <row r="5" spans="1:13" ht="15.75">
      <c r="A5" s="8"/>
      <c r="B5" s="11" t="s">
        <v>89</v>
      </c>
      <c r="C5" s="9"/>
      <c r="D5" s="9"/>
      <c r="E5" s="9"/>
      <c r="F5" s="9"/>
      <c r="G5" s="9"/>
      <c r="H5" s="9"/>
      <c r="I5" s="9"/>
      <c r="J5" s="9"/>
      <c r="K5" s="9"/>
      <c r="L5" s="8"/>
      <c r="M5" s="8"/>
    </row>
    <row r="6" spans="1:1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12" t="s">
        <v>3</v>
      </c>
      <c r="C7" s="12" t="s">
        <v>4</v>
      </c>
      <c r="D7" s="13">
        <v>1999</v>
      </c>
      <c r="E7" s="13">
        <v>1998</v>
      </c>
      <c r="F7" s="13">
        <v>1997</v>
      </c>
      <c r="G7" s="13">
        <v>1996</v>
      </c>
      <c r="H7" s="13">
        <v>1995</v>
      </c>
      <c r="I7" s="14">
        <v>1994</v>
      </c>
      <c r="J7" s="14">
        <v>1993</v>
      </c>
      <c r="K7" s="13" t="s">
        <v>10</v>
      </c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>
        <v>21</v>
      </c>
      <c r="B9" s="8" t="s">
        <v>11</v>
      </c>
      <c r="C9" s="8" t="s">
        <v>12</v>
      </c>
      <c r="D9" s="15">
        <v>7035.75</v>
      </c>
      <c r="E9" s="15">
        <v>942.4</v>
      </c>
      <c r="F9" s="15">
        <v>39.700000000000003</v>
      </c>
      <c r="G9" s="15">
        <v>-0.18</v>
      </c>
      <c r="H9" s="15"/>
      <c r="I9" s="15"/>
      <c r="J9" s="15"/>
      <c r="K9" s="15">
        <f>SUM(D9:J9)</f>
        <v>8017.6699999999992</v>
      </c>
      <c r="L9" s="8"/>
      <c r="M9" s="8"/>
    </row>
    <row r="10" spans="1:13">
      <c r="A10" s="8"/>
      <c r="B10" s="8"/>
      <c r="C10" s="8" t="s">
        <v>13</v>
      </c>
      <c r="D10" s="15">
        <v>227.42</v>
      </c>
      <c r="E10" s="15">
        <v>31.69</v>
      </c>
      <c r="F10" s="15">
        <v>1.33</v>
      </c>
      <c r="G10" s="15">
        <v>0.18</v>
      </c>
      <c r="H10" s="15"/>
      <c r="I10" s="15"/>
      <c r="J10" s="15"/>
      <c r="K10" s="15">
        <f>SUM(D10:J10)</f>
        <v>260.62</v>
      </c>
      <c r="L10" s="8"/>
      <c r="M10" s="8"/>
    </row>
    <row r="11" spans="1:13">
      <c r="A11" s="8"/>
      <c r="B11" s="8"/>
      <c r="C11" s="8"/>
      <c r="D11" s="15"/>
      <c r="E11" s="15"/>
      <c r="F11" s="15"/>
      <c r="G11" s="15"/>
      <c r="H11" s="15"/>
      <c r="I11" s="15"/>
      <c r="J11" s="15"/>
      <c r="K11" s="15"/>
      <c r="L11" s="8"/>
      <c r="M11" s="8"/>
    </row>
    <row r="12" spans="1:13">
      <c r="A12" s="8"/>
      <c r="B12" s="8"/>
      <c r="C12" s="8" t="s">
        <v>10</v>
      </c>
      <c r="D12" s="15">
        <f t="shared" ref="D12:J12" si="0">SUM(D9:D10)</f>
        <v>7263.17</v>
      </c>
      <c r="E12" s="15">
        <f t="shared" si="0"/>
        <v>974.09</v>
      </c>
      <c r="F12" s="15">
        <f t="shared" si="0"/>
        <v>41.03</v>
      </c>
      <c r="G12" s="15">
        <f t="shared" si="0"/>
        <v>0</v>
      </c>
      <c r="H12" s="15">
        <f t="shared" si="0"/>
        <v>0</v>
      </c>
      <c r="I12" s="15">
        <f t="shared" si="0"/>
        <v>0</v>
      </c>
      <c r="J12" s="15">
        <f t="shared" si="0"/>
        <v>0</v>
      </c>
      <c r="K12" s="15">
        <f>SUM(D12:J12)</f>
        <v>8278.2900000000009</v>
      </c>
      <c r="L12" s="8"/>
      <c r="M12" s="8"/>
    </row>
    <row r="13" spans="1:13">
      <c r="A13" s="8"/>
      <c r="B13" s="8"/>
      <c r="C13" s="8"/>
      <c r="D13" s="15"/>
      <c r="E13" s="8"/>
      <c r="F13" s="8"/>
      <c r="G13" s="8"/>
      <c r="H13" s="8"/>
      <c r="I13" s="8"/>
      <c r="J13" s="8"/>
      <c r="K13" s="15"/>
      <c r="L13" s="8"/>
      <c r="M13" s="8"/>
    </row>
    <row r="14" spans="1:13">
      <c r="A14" s="8">
        <v>22</v>
      </c>
      <c r="B14" s="8" t="s">
        <v>15</v>
      </c>
      <c r="C14" s="8" t="s">
        <v>12</v>
      </c>
      <c r="D14" s="15">
        <v>6552.85</v>
      </c>
      <c r="E14" s="15">
        <v>94.27</v>
      </c>
      <c r="F14" s="15">
        <v>18.95</v>
      </c>
      <c r="G14" s="15">
        <v>20.09</v>
      </c>
      <c r="H14" s="15">
        <v>-0.06</v>
      </c>
      <c r="I14" s="15"/>
      <c r="J14" s="15"/>
      <c r="K14" s="15">
        <f>SUM(D14:J14)</f>
        <v>6686.1</v>
      </c>
      <c r="L14" s="8"/>
      <c r="M14" s="8"/>
    </row>
    <row r="15" spans="1:13">
      <c r="A15" s="8"/>
      <c r="B15" s="8"/>
      <c r="C15" s="8" t="s">
        <v>13</v>
      </c>
      <c r="D15" s="15">
        <v>523.80999999999995</v>
      </c>
      <c r="E15" s="15">
        <v>7.44</v>
      </c>
      <c r="F15" s="15">
        <v>1.42</v>
      </c>
      <c r="G15" s="15">
        <v>1.34</v>
      </c>
      <c r="H15" s="15">
        <v>0.06</v>
      </c>
      <c r="I15" s="15"/>
      <c r="J15" s="15"/>
      <c r="K15" s="15">
        <f>SUM(D15:J15)</f>
        <v>534.06999999999994</v>
      </c>
      <c r="L15" s="8"/>
      <c r="M15" s="8"/>
    </row>
    <row r="16" spans="1:13">
      <c r="A16" s="8"/>
      <c r="B16" s="8"/>
      <c r="C16" s="8"/>
      <c r="D16" s="15"/>
      <c r="E16" s="15"/>
      <c r="F16" s="15"/>
      <c r="G16" s="15"/>
      <c r="H16" s="15"/>
      <c r="I16" s="15"/>
      <c r="J16" s="15"/>
      <c r="K16" s="15"/>
      <c r="L16" s="8"/>
      <c r="M16" s="8"/>
    </row>
    <row r="17" spans="1:13">
      <c r="A17" s="8"/>
      <c r="B17" s="8"/>
      <c r="C17" s="8" t="s">
        <v>10</v>
      </c>
      <c r="D17" s="15">
        <f t="shared" ref="D17:J17" si="1">SUM(D14:D15)</f>
        <v>7076.66</v>
      </c>
      <c r="E17" s="15">
        <f t="shared" si="1"/>
        <v>101.71</v>
      </c>
      <c r="F17" s="15">
        <f t="shared" si="1"/>
        <v>20.369999999999997</v>
      </c>
      <c r="G17" s="15">
        <f t="shared" si="1"/>
        <v>21.43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>SUM(D17:J17)</f>
        <v>7220.17</v>
      </c>
      <c r="L17" s="8"/>
      <c r="M17" s="8"/>
    </row>
    <row r="18" spans="1:13">
      <c r="A18" s="8"/>
      <c r="B18" s="8"/>
      <c r="C18" s="8"/>
      <c r="D18" s="15"/>
      <c r="E18" s="15"/>
      <c r="F18" s="15"/>
      <c r="G18" s="15"/>
      <c r="H18" s="15"/>
      <c r="I18" s="15"/>
      <c r="J18" s="15"/>
      <c r="K18" s="15"/>
      <c r="L18" s="8"/>
      <c r="M18" s="8"/>
    </row>
    <row r="19" spans="1:13">
      <c r="A19" s="8">
        <v>23</v>
      </c>
      <c r="B19" s="8" t="s">
        <v>16</v>
      </c>
      <c r="C19" s="8" t="s">
        <v>12</v>
      </c>
      <c r="D19" s="15">
        <v>6634.66</v>
      </c>
      <c r="E19" s="15">
        <v>445.01</v>
      </c>
      <c r="F19" s="15">
        <v>0.05</v>
      </c>
      <c r="G19" s="15">
        <v>-0.01</v>
      </c>
      <c r="H19" s="15"/>
      <c r="I19" s="15"/>
      <c r="J19" s="15"/>
      <c r="K19" s="15">
        <f>SUM(D19:J19)</f>
        <v>7079.71</v>
      </c>
      <c r="L19" s="8"/>
      <c r="M19" s="8"/>
    </row>
    <row r="20" spans="1:13">
      <c r="A20" s="8"/>
      <c r="B20" s="8"/>
      <c r="C20" s="8" t="s">
        <v>13</v>
      </c>
      <c r="D20" s="15"/>
      <c r="E20" s="15">
        <v>15.29</v>
      </c>
      <c r="F20" s="15">
        <v>-0.05</v>
      </c>
      <c r="G20" s="15">
        <v>0.01</v>
      </c>
      <c r="H20" s="15"/>
      <c r="I20" s="15"/>
      <c r="J20" s="15"/>
      <c r="K20" s="15">
        <f>SUM(D20:J20)</f>
        <v>15.249999999999998</v>
      </c>
      <c r="L20" s="8"/>
      <c r="M20" s="8"/>
    </row>
    <row r="21" spans="1:13">
      <c r="A21" s="8"/>
      <c r="B21" s="8"/>
      <c r="C21" s="8"/>
      <c r="D21" s="15"/>
      <c r="E21" s="15"/>
      <c r="F21" s="15"/>
      <c r="G21" s="15"/>
      <c r="H21" s="15"/>
      <c r="I21" s="15"/>
      <c r="J21" s="15"/>
      <c r="K21" s="15"/>
      <c r="L21" s="8"/>
      <c r="M21" s="8"/>
    </row>
    <row r="22" spans="1:13">
      <c r="A22" s="8"/>
      <c r="B22" s="8"/>
      <c r="C22" s="8" t="s">
        <v>10</v>
      </c>
      <c r="D22" s="15">
        <f t="shared" ref="D22:J22" si="2">SUM(D19:D20)</f>
        <v>6634.66</v>
      </c>
      <c r="E22" s="15">
        <f t="shared" si="2"/>
        <v>460.3</v>
      </c>
      <c r="F22" s="15">
        <f t="shared" si="2"/>
        <v>0</v>
      </c>
      <c r="G22" s="15">
        <f t="shared" si="2"/>
        <v>0</v>
      </c>
      <c r="H22" s="15">
        <f t="shared" si="2"/>
        <v>0</v>
      </c>
      <c r="I22" s="15">
        <f t="shared" si="2"/>
        <v>0</v>
      </c>
      <c r="J22" s="15">
        <f t="shared" si="2"/>
        <v>0</v>
      </c>
      <c r="K22" s="15">
        <f>SUM(D22:J22)</f>
        <v>7094.96</v>
      </c>
      <c r="L22" s="8"/>
      <c r="M22" s="8"/>
    </row>
    <row r="23" spans="1:13">
      <c r="A23" s="8"/>
      <c r="B23" s="8"/>
      <c r="C23" s="8"/>
      <c r="D23" s="15"/>
      <c r="E23" s="15"/>
      <c r="F23" s="15"/>
      <c r="G23" s="15"/>
      <c r="H23" s="15"/>
      <c r="I23" s="15"/>
      <c r="J23" s="15"/>
      <c r="K23" s="15"/>
      <c r="L23" s="8"/>
      <c r="M23" s="8"/>
    </row>
    <row r="24" spans="1:13">
      <c r="A24" s="8"/>
      <c r="B24" s="8"/>
      <c r="C24" s="8"/>
      <c r="D24" s="15"/>
      <c r="E24" s="8"/>
      <c r="F24" s="8"/>
      <c r="G24" s="8"/>
      <c r="H24" s="8"/>
      <c r="I24" s="8"/>
      <c r="J24" s="8"/>
      <c r="K24" s="15"/>
      <c r="L24" s="8"/>
      <c r="M24" s="8"/>
    </row>
    <row r="25" spans="1:13">
      <c r="A25" s="8"/>
      <c r="B25" s="8"/>
      <c r="C25" s="8"/>
      <c r="D25" s="15"/>
      <c r="E25" s="15"/>
      <c r="F25" s="15"/>
      <c r="G25" s="15"/>
      <c r="H25" s="15"/>
      <c r="I25" s="15"/>
      <c r="J25" s="15"/>
      <c r="K25" s="15"/>
      <c r="L25" s="8"/>
      <c r="M25" s="8"/>
    </row>
    <row r="26" spans="1:13">
      <c r="A26" s="8">
        <v>24</v>
      </c>
      <c r="B26" s="8" t="s">
        <v>17</v>
      </c>
      <c r="C26" s="8" t="s">
        <v>12</v>
      </c>
      <c r="D26" s="15">
        <v>4679.8</v>
      </c>
      <c r="E26" s="15">
        <v>42.61</v>
      </c>
      <c r="F26" s="15">
        <v>0</v>
      </c>
      <c r="G26" s="15">
        <v>0</v>
      </c>
      <c r="H26" s="15"/>
      <c r="I26" s="15"/>
      <c r="J26" s="15"/>
      <c r="K26" s="15">
        <f>SUM(D26:J26)</f>
        <v>4722.41</v>
      </c>
      <c r="L26" s="8"/>
      <c r="M26" s="8"/>
    </row>
    <row r="27" spans="1:13">
      <c r="A27" s="8"/>
      <c r="B27" s="8"/>
      <c r="C27" s="8"/>
      <c r="D27" s="15"/>
      <c r="E27" s="15"/>
      <c r="F27" s="15"/>
      <c r="G27" s="15"/>
      <c r="H27" s="15"/>
      <c r="I27" s="15"/>
      <c r="J27" s="15"/>
      <c r="K27" s="15"/>
      <c r="L27" s="8"/>
      <c r="M27" s="8"/>
    </row>
    <row r="28" spans="1:13">
      <c r="A28" s="8"/>
      <c r="B28" s="8"/>
      <c r="C28" s="8" t="s">
        <v>10</v>
      </c>
      <c r="D28" s="15">
        <f t="shared" ref="D28:J28" si="3">SUM(D26:D27)</f>
        <v>4679.8</v>
      </c>
      <c r="E28" s="15">
        <f t="shared" si="3"/>
        <v>42.61</v>
      </c>
      <c r="F28" s="15">
        <f t="shared" si="3"/>
        <v>0</v>
      </c>
      <c r="G28" s="15">
        <f t="shared" si="3"/>
        <v>0</v>
      </c>
      <c r="H28" s="15">
        <f t="shared" si="3"/>
        <v>0</v>
      </c>
      <c r="I28" s="15">
        <f t="shared" si="3"/>
        <v>0</v>
      </c>
      <c r="J28" s="15">
        <f t="shared" si="3"/>
        <v>0</v>
      </c>
      <c r="K28" s="15">
        <f>SUM(D28:J28)</f>
        <v>4722.41</v>
      </c>
      <c r="L28" s="8"/>
      <c r="M28" s="8"/>
    </row>
    <row r="29" spans="1:13">
      <c r="A29" s="8"/>
      <c r="B29" s="8"/>
      <c r="C29" s="8"/>
      <c r="D29" s="15"/>
      <c r="E29" s="15"/>
      <c r="F29" s="15"/>
      <c r="G29" s="15"/>
      <c r="H29" s="15"/>
      <c r="I29" s="15"/>
      <c r="J29" s="15"/>
      <c r="K29" s="15"/>
      <c r="L29" s="8"/>
      <c r="M29" s="8"/>
    </row>
    <row r="30" spans="1:13">
      <c r="A30" s="8"/>
      <c r="B30" s="8"/>
      <c r="C30" s="8"/>
      <c r="D30" s="15"/>
      <c r="E30" s="8"/>
      <c r="F30" s="8"/>
      <c r="G30" s="8"/>
      <c r="H30" s="8"/>
      <c r="I30" s="8"/>
      <c r="J30" s="8"/>
      <c r="K30" s="15"/>
      <c r="L30" s="8"/>
      <c r="M30" s="8"/>
    </row>
    <row r="31" spans="1:13">
      <c r="A31" s="8"/>
      <c r="B31" s="8"/>
      <c r="C31" s="8"/>
      <c r="D31" s="15"/>
      <c r="E31" s="15"/>
      <c r="F31" s="15"/>
      <c r="G31" s="15"/>
      <c r="H31" s="15"/>
      <c r="I31" s="15"/>
      <c r="J31" s="15"/>
      <c r="K31" s="15"/>
      <c r="L31" s="8"/>
      <c r="M31" s="8"/>
    </row>
    <row r="32" spans="1:13">
      <c r="A32" s="8">
        <v>25</v>
      </c>
      <c r="B32" s="8" t="s">
        <v>18</v>
      </c>
      <c r="C32" s="8" t="s">
        <v>12</v>
      </c>
      <c r="D32" s="15">
        <v>21919.02</v>
      </c>
      <c r="E32" s="15">
        <v>782.35</v>
      </c>
      <c r="F32" s="15">
        <v>33.89</v>
      </c>
      <c r="G32" s="15">
        <v>0</v>
      </c>
      <c r="H32" s="15">
        <v>0</v>
      </c>
      <c r="I32" s="15"/>
      <c r="J32" s="15"/>
      <c r="K32" s="15">
        <f>SUM(D32:J32)</f>
        <v>22735.26</v>
      </c>
      <c r="L32" s="8"/>
      <c r="M32" s="8"/>
    </row>
    <row r="33" spans="1:13">
      <c r="A33" s="8"/>
      <c r="B33" s="8"/>
      <c r="C33" s="8"/>
      <c r="D33" s="15"/>
      <c r="E33" s="15"/>
      <c r="F33" s="15"/>
      <c r="G33" s="15"/>
      <c r="H33" s="15"/>
      <c r="I33" s="15"/>
      <c r="J33" s="15"/>
      <c r="K33" s="15"/>
      <c r="L33" s="8"/>
      <c r="M33" s="8"/>
    </row>
    <row r="34" spans="1:13">
      <c r="A34" s="8"/>
      <c r="B34" s="8"/>
      <c r="C34" s="8" t="s">
        <v>10</v>
      </c>
      <c r="D34" s="15">
        <f t="shared" ref="D34:J34" si="4">SUM(D32:D33)</f>
        <v>21919.02</v>
      </c>
      <c r="E34" s="15">
        <f t="shared" si="4"/>
        <v>782.35</v>
      </c>
      <c r="F34" s="15">
        <f t="shared" si="4"/>
        <v>33.89</v>
      </c>
      <c r="G34" s="15">
        <f t="shared" si="4"/>
        <v>0</v>
      </c>
      <c r="H34" s="15">
        <f t="shared" si="4"/>
        <v>0</v>
      </c>
      <c r="I34" s="15">
        <f t="shared" si="4"/>
        <v>0</v>
      </c>
      <c r="J34" s="15">
        <f t="shared" si="4"/>
        <v>0</v>
      </c>
      <c r="K34" s="15">
        <f>SUM(D34:J34)</f>
        <v>22735.26</v>
      </c>
      <c r="L34" s="8"/>
      <c r="M34" s="8"/>
    </row>
    <row r="35" spans="1:13">
      <c r="A35" s="8"/>
      <c r="B35" s="8"/>
      <c r="C35" s="8"/>
      <c r="D35" s="15"/>
      <c r="E35" s="8"/>
      <c r="F35" s="8"/>
      <c r="G35" s="8"/>
      <c r="H35" s="8"/>
      <c r="I35" s="8"/>
      <c r="J35" s="8"/>
      <c r="K35" s="15"/>
      <c r="L35" s="8"/>
      <c r="M35" s="8"/>
    </row>
    <row r="36" spans="1:13">
      <c r="A36" s="8"/>
      <c r="B36" s="8"/>
      <c r="C36" s="8"/>
      <c r="D36" s="15"/>
      <c r="E36" s="15"/>
      <c r="F36" s="15"/>
      <c r="G36" s="15"/>
      <c r="H36" s="15"/>
      <c r="I36" s="15"/>
      <c r="J36" s="15"/>
      <c r="K36" s="15"/>
      <c r="L36" s="8"/>
      <c r="M36" s="8"/>
    </row>
    <row r="37" spans="1:13">
      <c r="A37" s="8"/>
      <c r="B37" s="8"/>
      <c r="C37" s="8"/>
      <c r="D37" s="15"/>
      <c r="E37" s="15"/>
      <c r="F37" s="15"/>
      <c r="G37" s="15"/>
      <c r="H37" s="15"/>
      <c r="I37" s="15"/>
      <c r="J37" s="15"/>
      <c r="K37" s="15"/>
      <c r="L37" s="8"/>
      <c r="M37" s="8"/>
    </row>
    <row r="38" spans="1:13">
      <c r="A38" s="8">
        <v>26</v>
      </c>
      <c r="B38" s="8" t="s">
        <v>19</v>
      </c>
      <c r="C38" s="8" t="s">
        <v>12</v>
      </c>
      <c r="D38" s="15">
        <v>5648.48</v>
      </c>
      <c r="E38" s="15">
        <v>33.53</v>
      </c>
      <c r="F38" s="15">
        <v>32.67</v>
      </c>
      <c r="G38" s="15">
        <v>34.58</v>
      </c>
      <c r="H38" s="15">
        <v>32.51</v>
      </c>
      <c r="I38" s="15">
        <v>-0.15</v>
      </c>
      <c r="J38" s="15"/>
      <c r="K38" s="15">
        <f>SUM(D38:J38)</f>
        <v>5781.62</v>
      </c>
      <c r="L38" s="8"/>
      <c r="M38" s="8"/>
    </row>
    <row r="39" spans="1:13">
      <c r="A39" s="8"/>
      <c r="B39" s="8"/>
      <c r="C39" s="8" t="s">
        <v>13</v>
      </c>
      <c r="D39" s="15">
        <v>145.63</v>
      </c>
      <c r="E39" s="15">
        <v>0.78</v>
      </c>
      <c r="F39" s="15">
        <v>1.18</v>
      </c>
      <c r="G39" s="15">
        <v>0.99</v>
      </c>
      <c r="H39" s="15">
        <v>0.68</v>
      </c>
      <c r="I39" s="15">
        <v>0.15</v>
      </c>
      <c r="J39" s="15"/>
      <c r="K39" s="15">
        <f>SUM(D39:J39)</f>
        <v>149.41000000000003</v>
      </c>
      <c r="L39" s="8"/>
      <c r="M39" s="8"/>
    </row>
    <row r="40" spans="1:13">
      <c r="A40" s="8"/>
      <c r="B40" s="8"/>
      <c r="C40" s="8"/>
      <c r="D40" s="15"/>
      <c r="E40" s="15"/>
      <c r="F40" s="15"/>
      <c r="G40" s="15"/>
      <c r="H40" s="15"/>
      <c r="I40" s="15"/>
      <c r="J40" s="15"/>
      <c r="K40" s="15"/>
      <c r="L40" s="8"/>
      <c r="M40" s="8"/>
    </row>
    <row r="41" spans="1:13">
      <c r="A41" s="8"/>
      <c r="B41" s="8"/>
      <c r="C41" s="8" t="s">
        <v>10</v>
      </c>
      <c r="D41" s="15">
        <f t="shared" ref="D41:J41" si="5">SUM(D38:D39)</f>
        <v>5794.11</v>
      </c>
      <c r="E41" s="15">
        <f t="shared" si="5"/>
        <v>34.31</v>
      </c>
      <c r="F41" s="15">
        <f t="shared" si="5"/>
        <v>33.85</v>
      </c>
      <c r="G41" s="15">
        <f t="shared" si="5"/>
        <v>35.57</v>
      </c>
      <c r="H41" s="15">
        <f t="shared" si="5"/>
        <v>33.19</v>
      </c>
      <c r="I41" s="15">
        <f t="shared" si="5"/>
        <v>0</v>
      </c>
      <c r="J41" s="15">
        <f t="shared" si="5"/>
        <v>0</v>
      </c>
      <c r="K41" s="15">
        <f>SUM(D41:J41)</f>
        <v>5931.03</v>
      </c>
      <c r="L41" s="8"/>
      <c r="M41" s="8"/>
    </row>
    <row r="42" spans="1:13">
      <c r="A42" s="8"/>
      <c r="B42" s="8"/>
      <c r="C42" s="8"/>
      <c r="D42" s="15"/>
      <c r="E42" s="15"/>
      <c r="F42" s="15"/>
      <c r="G42" s="15"/>
      <c r="H42" s="15"/>
      <c r="I42" s="15"/>
      <c r="J42" s="15"/>
      <c r="K42" s="15"/>
      <c r="L42" s="8"/>
      <c r="M42" s="8"/>
    </row>
    <row r="43" spans="1:13">
      <c r="A43" s="8"/>
      <c r="B43" s="8"/>
      <c r="C43" s="8"/>
      <c r="D43" s="15"/>
      <c r="E43" s="15"/>
      <c r="F43" s="15"/>
      <c r="G43" s="15"/>
      <c r="H43" s="15"/>
      <c r="I43" s="15"/>
      <c r="J43" s="15"/>
      <c r="K43" s="15"/>
      <c r="L43" s="8"/>
      <c r="M43" s="8"/>
    </row>
    <row r="44" spans="1:13">
      <c r="A44" s="8">
        <v>27</v>
      </c>
      <c r="B44" s="8" t="s">
        <v>20</v>
      </c>
      <c r="C44" s="8" t="s">
        <v>12</v>
      </c>
      <c r="D44" s="15">
        <v>7068.37</v>
      </c>
      <c r="E44" s="15">
        <v>52.14</v>
      </c>
      <c r="F44" s="15">
        <v>0</v>
      </c>
      <c r="G44" s="15">
        <v>0</v>
      </c>
      <c r="H44" s="15"/>
      <c r="I44" s="15"/>
      <c r="J44" s="15"/>
      <c r="K44" s="15">
        <f>SUM(D44:J44)</f>
        <v>7120.51</v>
      </c>
      <c r="L44" s="8"/>
      <c r="M44" s="8"/>
    </row>
    <row r="45" spans="1:13">
      <c r="A45" s="8"/>
      <c r="B45" s="8"/>
      <c r="C45" s="8"/>
      <c r="D45" s="15"/>
      <c r="E45" s="15"/>
      <c r="F45" s="15"/>
      <c r="G45" s="15"/>
      <c r="H45" s="15"/>
      <c r="I45" s="15"/>
      <c r="J45" s="15"/>
      <c r="K45" s="15"/>
      <c r="L45" s="8"/>
      <c r="M45" s="8"/>
    </row>
    <row r="46" spans="1:13">
      <c r="A46" s="8"/>
      <c r="B46" s="8"/>
      <c r="C46" s="8" t="s">
        <v>10</v>
      </c>
      <c r="D46" s="15">
        <f t="shared" ref="D46:J46" si="6">SUM(D44:D45)</f>
        <v>7068.37</v>
      </c>
      <c r="E46" s="15">
        <f t="shared" si="6"/>
        <v>52.14</v>
      </c>
      <c r="F46" s="15">
        <f t="shared" si="6"/>
        <v>0</v>
      </c>
      <c r="G46" s="15">
        <f t="shared" si="6"/>
        <v>0</v>
      </c>
      <c r="H46" s="15">
        <f t="shared" si="6"/>
        <v>0</v>
      </c>
      <c r="I46" s="15">
        <f t="shared" si="6"/>
        <v>0</v>
      </c>
      <c r="J46" s="15">
        <f t="shared" si="6"/>
        <v>0</v>
      </c>
      <c r="K46" s="15">
        <f>SUM(D46:J46)</f>
        <v>7120.51</v>
      </c>
      <c r="L46" s="8"/>
      <c r="M46" s="8"/>
    </row>
    <row r="47" spans="1:13">
      <c r="A47" s="8"/>
      <c r="B47" s="8"/>
      <c r="C47" s="8"/>
      <c r="D47" s="15"/>
      <c r="E47" s="8"/>
      <c r="F47" s="8"/>
      <c r="G47" s="8"/>
      <c r="H47" s="8"/>
      <c r="I47" s="8"/>
      <c r="J47" s="8"/>
      <c r="K47" s="15"/>
      <c r="L47" s="8"/>
      <c r="M47" s="8"/>
    </row>
    <row r="48" spans="1:13">
      <c r="A48" s="8"/>
      <c r="B48" s="8"/>
      <c r="C48" s="8"/>
      <c r="D48" s="15"/>
      <c r="E48" s="8"/>
      <c r="F48" s="8"/>
      <c r="G48" s="8"/>
      <c r="H48" s="8"/>
      <c r="I48" s="8"/>
      <c r="J48" s="8"/>
      <c r="K48" s="15"/>
      <c r="L48" s="8"/>
      <c r="M48" s="8"/>
    </row>
    <row r="49" spans="1:13">
      <c r="A49" s="8"/>
      <c r="B49" s="8"/>
      <c r="C49" s="8"/>
      <c r="D49" s="15"/>
      <c r="E49" s="15"/>
      <c r="F49" s="15"/>
      <c r="G49" s="15"/>
      <c r="H49" s="15"/>
      <c r="I49" s="15"/>
      <c r="J49" s="15"/>
      <c r="K49" s="15"/>
      <c r="L49" s="8"/>
      <c r="M49" s="8"/>
    </row>
    <row r="50" spans="1:13">
      <c r="A50" s="8"/>
      <c r="B50" s="8"/>
      <c r="C50" s="8"/>
      <c r="D50" s="15"/>
      <c r="E50" s="15"/>
      <c r="F50" s="15"/>
      <c r="G50" s="15"/>
      <c r="H50" s="15"/>
      <c r="I50" s="15"/>
      <c r="J50" s="15"/>
      <c r="K50" s="15"/>
      <c r="L50" s="8"/>
      <c r="M50" s="8"/>
    </row>
    <row r="51" spans="1:13">
      <c r="A51" s="8">
        <v>28</v>
      </c>
      <c r="B51" s="8" t="s">
        <v>21</v>
      </c>
      <c r="C51" s="8" t="s">
        <v>12</v>
      </c>
      <c r="D51" s="15">
        <v>5899.11</v>
      </c>
      <c r="E51" s="15">
        <v>-0.36</v>
      </c>
      <c r="F51" s="15">
        <v>0.27</v>
      </c>
      <c r="G51" s="15">
        <v>0.11</v>
      </c>
      <c r="H51" s="15"/>
      <c r="I51" s="15"/>
      <c r="J51" s="15"/>
      <c r="K51" s="15">
        <f>SUM(D51:J51)</f>
        <v>5899.13</v>
      </c>
      <c r="L51" s="8"/>
      <c r="M51" s="8"/>
    </row>
    <row r="52" spans="1:13">
      <c r="A52" s="8"/>
      <c r="B52" s="8"/>
      <c r="C52" s="8" t="s">
        <v>13</v>
      </c>
      <c r="D52" s="15">
        <v>199.02</v>
      </c>
      <c r="E52" s="15">
        <v>0.43</v>
      </c>
      <c r="F52" s="15">
        <v>-0.27</v>
      </c>
      <c r="G52" s="15">
        <v>-0.11</v>
      </c>
      <c r="H52" s="15"/>
      <c r="I52" s="15"/>
      <c r="J52" s="15"/>
      <c r="K52" s="15">
        <f>SUM(D52:J52)</f>
        <v>199.07</v>
      </c>
      <c r="L52" s="8"/>
      <c r="M52" s="8"/>
    </row>
    <row r="53" spans="1:13">
      <c r="A53" s="8"/>
      <c r="B53" s="8"/>
      <c r="C53" s="8"/>
      <c r="D53" s="15"/>
      <c r="E53" s="15"/>
      <c r="F53" s="15"/>
      <c r="G53" s="15"/>
      <c r="H53" s="15"/>
      <c r="I53" s="15"/>
      <c r="J53" s="15"/>
      <c r="K53" s="15"/>
      <c r="L53" s="8"/>
      <c r="M53" s="8"/>
    </row>
    <row r="54" spans="1:13">
      <c r="A54" s="8"/>
      <c r="B54" s="8"/>
      <c r="C54" s="8" t="s">
        <v>10</v>
      </c>
      <c r="D54" s="15">
        <f t="shared" ref="D54:J54" si="7">SUM(D51:D52)</f>
        <v>6098.13</v>
      </c>
      <c r="E54" s="15">
        <f t="shared" si="7"/>
        <v>7.0000000000000007E-2</v>
      </c>
      <c r="F54" s="15">
        <f t="shared" si="7"/>
        <v>0</v>
      </c>
      <c r="G54" s="15">
        <f t="shared" si="7"/>
        <v>0</v>
      </c>
      <c r="H54" s="15">
        <f t="shared" si="7"/>
        <v>0</v>
      </c>
      <c r="I54" s="15">
        <f t="shared" si="7"/>
        <v>0</v>
      </c>
      <c r="J54" s="15">
        <f t="shared" si="7"/>
        <v>0</v>
      </c>
      <c r="K54" s="15">
        <f>SUM(D54:J54)</f>
        <v>6098.2</v>
      </c>
      <c r="L54" s="8"/>
      <c r="M54" s="8"/>
    </row>
    <row r="55" spans="1:13">
      <c r="A55" s="8"/>
      <c r="B55" s="8"/>
      <c r="C55" s="8"/>
      <c r="D55" s="15"/>
      <c r="E55" s="15"/>
      <c r="F55" s="15"/>
      <c r="G55" s="15"/>
      <c r="H55" s="15"/>
      <c r="I55" s="15"/>
      <c r="J55" s="15"/>
      <c r="K55" s="15"/>
      <c r="L55" s="8"/>
      <c r="M55" s="8"/>
    </row>
    <row r="56" spans="1:13">
      <c r="A56" s="8"/>
      <c r="B56" s="8"/>
      <c r="C56" s="8"/>
      <c r="D56" s="15"/>
      <c r="E56" s="15"/>
      <c r="F56" s="15"/>
      <c r="G56" s="15"/>
      <c r="H56" s="15"/>
      <c r="I56" s="15"/>
      <c r="J56" s="15"/>
      <c r="K56" s="15"/>
      <c r="L56" s="8"/>
      <c r="M56" s="8"/>
    </row>
    <row r="57" spans="1:13">
      <c r="A57" s="8">
        <v>29</v>
      </c>
      <c r="B57" s="8" t="s">
        <v>22</v>
      </c>
      <c r="C57" s="8" t="s">
        <v>12</v>
      </c>
      <c r="D57" s="15">
        <v>11735.67</v>
      </c>
      <c r="E57" s="15">
        <v>2.09</v>
      </c>
      <c r="F57" s="15">
        <v>1.91</v>
      </c>
      <c r="G57" s="15">
        <v>1.47</v>
      </c>
      <c r="H57" s="15"/>
      <c r="I57" s="15"/>
      <c r="J57" s="15"/>
      <c r="K57" s="15">
        <f>SUM(D57:J57)</f>
        <v>11741.14</v>
      </c>
      <c r="L57" s="8"/>
      <c r="M57" s="8"/>
    </row>
    <row r="58" spans="1:13">
      <c r="A58" s="8"/>
      <c r="B58" s="8"/>
      <c r="C58" s="8" t="s">
        <v>35</v>
      </c>
      <c r="D58" s="15">
        <v>546.41</v>
      </c>
      <c r="E58" s="15">
        <v>0.05</v>
      </c>
      <c r="F58" s="15">
        <v>0.01</v>
      </c>
      <c r="G58" s="15">
        <v>0.2</v>
      </c>
      <c r="H58" s="15"/>
      <c r="I58" s="15"/>
      <c r="J58" s="15"/>
      <c r="K58" s="15">
        <f>SUM(D58:J58)</f>
        <v>546.66999999999996</v>
      </c>
      <c r="L58" s="8"/>
      <c r="M58" s="8"/>
    </row>
    <row r="59" spans="1:13">
      <c r="A59" s="8"/>
      <c r="B59" s="8"/>
      <c r="C59" s="8" t="s">
        <v>13</v>
      </c>
      <c r="D59" s="15">
        <v>782.94</v>
      </c>
      <c r="E59" s="15">
        <v>0.16</v>
      </c>
      <c r="F59" s="15">
        <v>0.18</v>
      </c>
      <c r="G59" s="15">
        <v>0.25</v>
      </c>
      <c r="H59" s="15"/>
      <c r="I59" s="15"/>
      <c r="J59" s="15"/>
      <c r="K59" s="15">
        <f>SUM(D59:J59)</f>
        <v>783.53</v>
      </c>
      <c r="L59" s="8"/>
      <c r="M59" s="8"/>
    </row>
    <row r="60" spans="1:13">
      <c r="A60" s="8"/>
      <c r="B60" s="8"/>
      <c r="C60" s="8" t="s">
        <v>78</v>
      </c>
      <c r="D60" s="15">
        <v>1618.09</v>
      </c>
      <c r="E60" s="15">
        <v>0.24</v>
      </c>
      <c r="F60" s="15">
        <v>0.22</v>
      </c>
      <c r="G60" s="15">
        <v>0.3</v>
      </c>
      <c r="H60" s="15"/>
      <c r="I60" s="15"/>
      <c r="J60" s="15"/>
      <c r="K60" s="15">
        <f>SUM(D60:J60)</f>
        <v>1618.85</v>
      </c>
      <c r="L60" s="8"/>
      <c r="M60" s="8"/>
    </row>
    <row r="61" spans="1:13">
      <c r="A61" s="8"/>
      <c r="B61" s="8"/>
      <c r="C61" s="8"/>
      <c r="D61" s="15"/>
      <c r="E61" s="15"/>
      <c r="F61" s="15"/>
      <c r="G61" s="15"/>
      <c r="H61" s="15"/>
      <c r="I61" s="15"/>
      <c r="J61" s="15"/>
      <c r="K61" s="15"/>
      <c r="L61" s="8"/>
      <c r="M61" s="8"/>
    </row>
    <row r="62" spans="1:13">
      <c r="A62" s="8"/>
      <c r="B62" s="8"/>
      <c r="C62" s="8" t="s">
        <v>10</v>
      </c>
      <c r="D62" s="15">
        <f t="shared" ref="D62:J62" si="8">SUM(D57:D60)</f>
        <v>14683.11</v>
      </c>
      <c r="E62" s="15">
        <f t="shared" si="8"/>
        <v>2.54</v>
      </c>
      <c r="F62" s="15">
        <f t="shared" si="8"/>
        <v>2.3200000000000003</v>
      </c>
      <c r="G62" s="15">
        <f t="shared" si="8"/>
        <v>2.2199999999999998</v>
      </c>
      <c r="H62" s="15">
        <f t="shared" si="8"/>
        <v>0</v>
      </c>
      <c r="I62" s="15">
        <f t="shared" si="8"/>
        <v>0</v>
      </c>
      <c r="J62" s="15">
        <f t="shared" si="8"/>
        <v>0</v>
      </c>
      <c r="K62" s="15">
        <f>SUM(D62:J62)</f>
        <v>14690.19</v>
      </c>
      <c r="L62" s="8"/>
      <c r="M62" s="8"/>
    </row>
    <row r="63" spans="1:13">
      <c r="A63" s="8"/>
      <c r="B63" s="8"/>
      <c r="C63" s="8"/>
      <c r="D63" s="15"/>
      <c r="E63" s="15"/>
      <c r="F63" s="15"/>
      <c r="G63" s="15"/>
      <c r="H63" s="15"/>
      <c r="I63" s="15"/>
      <c r="J63" s="15"/>
      <c r="K63" s="15"/>
      <c r="L63" s="8"/>
      <c r="M63" s="8"/>
    </row>
    <row r="64" spans="1:13">
      <c r="A64" s="8">
        <v>30</v>
      </c>
      <c r="B64" s="8" t="s">
        <v>23</v>
      </c>
      <c r="C64" s="8" t="s">
        <v>12</v>
      </c>
      <c r="D64" s="15">
        <v>4660.05</v>
      </c>
      <c r="E64" s="15">
        <v>46.61</v>
      </c>
      <c r="F64" s="15">
        <v>15.93</v>
      </c>
      <c r="G64" s="15">
        <v>15.84</v>
      </c>
      <c r="H64" s="15">
        <v>0</v>
      </c>
      <c r="I64" s="15"/>
      <c r="J64" s="15"/>
      <c r="K64" s="15">
        <f>SUM(D64:J64)</f>
        <v>4738.43</v>
      </c>
      <c r="L64" s="8"/>
      <c r="M64" s="8"/>
    </row>
    <row r="65" spans="1:13">
      <c r="A65" s="8"/>
      <c r="B65" s="8"/>
      <c r="C65" s="8" t="s">
        <v>13</v>
      </c>
      <c r="D65" s="15"/>
      <c r="E65" s="15"/>
      <c r="F65" s="15"/>
      <c r="G65" s="15"/>
      <c r="H65" s="15"/>
      <c r="I65" s="15"/>
      <c r="J65" s="15"/>
      <c r="K65" s="15"/>
      <c r="L65" s="8"/>
      <c r="M65" s="8"/>
    </row>
    <row r="66" spans="1:13">
      <c r="A66" s="8"/>
      <c r="B66" s="8"/>
      <c r="C66" s="8"/>
      <c r="D66" s="15"/>
      <c r="E66" s="15"/>
      <c r="F66" s="15"/>
      <c r="G66" s="15"/>
      <c r="H66" s="15"/>
      <c r="I66" s="15"/>
      <c r="J66" s="15"/>
      <c r="K66" s="15"/>
      <c r="L66" s="8"/>
      <c r="M66" s="8"/>
    </row>
    <row r="67" spans="1:13">
      <c r="A67" s="8"/>
      <c r="B67" s="8"/>
      <c r="C67" s="15"/>
      <c r="D67" s="15">
        <f t="shared" ref="D67:J67" si="9">SUM(D64:D65)</f>
        <v>4660.05</v>
      </c>
      <c r="E67" s="15">
        <f t="shared" si="9"/>
        <v>46.61</v>
      </c>
      <c r="F67" s="15">
        <f t="shared" si="9"/>
        <v>15.93</v>
      </c>
      <c r="G67" s="15">
        <f t="shared" si="9"/>
        <v>15.84</v>
      </c>
      <c r="H67" s="15">
        <f t="shared" si="9"/>
        <v>0</v>
      </c>
      <c r="I67" s="15">
        <f t="shared" si="9"/>
        <v>0</v>
      </c>
      <c r="J67" s="15">
        <f t="shared" si="9"/>
        <v>0</v>
      </c>
      <c r="K67" s="15">
        <f>SUM(D67:J67)</f>
        <v>4738.43</v>
      </c>
      <c r="L67" s="8"/>
      <c r="M67" s="8"/>
    </row>
    <row r="68" spans="1:13">
      <c r="A68" s="8"/>
      <c r="B68" s="8"/>
      <c r="C68" s="8"/>
      <c r="D68" s="15"/>
      <c r="E68" s="15"/>
      <c r="F68" s="15"/>
      <c r="G68" s="15"/>
      <c r="H68" s="15"/>
      <c r="I68" s="15"/>
      <c r="J68" s="15"/>
      <c r="K68" s="15"/>
      <c r="L68" s="8"/>
      <c r="M68" s="8"/>
    </row>
    <row r="69" spans="1:13">
      <c r="A69" s="8"/>
      <c r="B69" s="8"/>
      <c r="C69" s="8"/>
      <c r="D69" s="15"/>
      <c r="E69" s="15"/>
      <c r="F69" s="15"/>
      <c r="G69" s="15"/>
      <c r="H69" s="15"/>
      <c r="I69" s="15"/>
      <c r="J69" s="15"/>
      <c r="K69" s="15"/>
      <c r="L69" s="8"/>
      <c r="M69" s="8"/>
    </row>
    <row r="70" spans="1:13">
      <c r="A70" s="8">
        <v>31</v>
      </c>
      <c r="B70" s="8" t="s">
        <v>24</v>
      </c>
      <c r="C70" s="8" t="s">
        <v>12</v>
      </c>
      <c r="D70" s="15">
        <v>2118.46</v>
      </c>
      <c r="E70" s="15">
        <v>36.130000000000003</v>
      </c>
      <c r="F70" s="15">
        <v>-0.69</v>
      </c>
      <c r="G70" s="15">
        <v>-0.16</v>
      </c>
      <c r="H70" s="15"/>
      <c r="I70" s="15"/>
      <c r="J70" s="15"/>
      <c r="K70" s="15">
        <f>SUM(D70:J70)</f>
        <v>2153.7400000000002</v>
      </c>
      <c r="L70" s="8"/>
      <c r="M70" s="8"/>
    </row>
    <row r="71" spans="1:13">
      <c r="A71" s="8"/>
      <c r="B71" s="8"/>
      <c r="C71" s="8" t="s">
        <v>13</v>
      </c>
      <c r="D71" s="15">
        <v>84.61</v>
      </c>
      <c r="E71" s="15">
        <v>0.81</v>
      </c>
      <c r="F71" s="15">
        <v>0.69</v>
      </c>
      <c r="G71" s="15">
        <v>0.16</v>
      </c>
      <c r="H71" s="15"/>
      <c r="I71" s="15"/>
      <c r="J71" s="15"/>
      <c r="K71" s="15">
        <f>SUM(D71:J71)</f>
        <v>86.27</v>
      </c>
      <c r="L71" s="8"/>
      <c r="M71" s="8"/>
    </row>
    <row r="72" spans="1:13">
      <c r="A72" s="8"/>
      <c r="B72" s="8"/>
      <c r="C72" s="8"/>
      <c r="D72" s="15"/>
      <c r="E72" s="15"/>
      <c r="F72" s="15"/>
      <c r="G72" s="15"/>
      <c r="H72" s="15"/>
      <c r="I72" s="15"/>
      <c r="J72" s="15"/>
      <c r="K72" s="15"/>
      <c r="L72" s="8"/>
      <c r="M72" s="8"/>
    </row>
    <row r="73" spans="1:13">
      <c r="A73" s="8"/>
      <c r="B73" s="8"/>
      <c r="C73" s="8" t="s">
        <v>10</v>
      </c>
      <c r="D73" s="15">
        <f t="shared" ref="D73:J73" si="10">SUM(D70:D71)</f>
        <v>2203.0700000000002</v>
      </c>
      <c r="E73" s="15">
        <f t="shared" si="10"/>
        <v>36.940000000000005</v>
      </c>
      <c r="F73" s="15">
        <f t="shared" si="10"/>
        <v>0</v>
      </c>
      <c r="G73" s="15">
        <f t="shared" si="10"/>
        <v>0</v>
      </c>
      <c r="H73" s="15">
        <f t="shared" si="10"/>
        <v>0</v>
      </c>
      <c r="I73" s="15">
        <f t="shared" si="10"/>
        <v>0</v>
      </c>
      <c r="J73" s="15">
        <f t="shared" si="10"/>
        <v>0</v>
      </c>
      <c r="K73" s="15">
        <f>SUM(D73:J73)</f>
        <v>2240.0100000000002</v>
      </c>
      <c r="L73" s="8"/>
      <c r="M73" s="8"/>
    </row>
    <row r="74" spans="1:13">
      <c r="A74" s="8"/>
      <c r="B74" s="8"/>
      <c r="C74" s="8"/>
      <c r="D74" s="15"/>
      <c r="E74" s="15"/>
      <c r="F74" s="15"/>
      <c r="G74" s="15"/>
      <c r="H74" s="15"/>
      <c r="I74" s="15"/>
      <c r="J74" s="15"/>
      <c r="K74" s="15"/>
      <c r="L74" s="8"/>
      <c r="M74" s="8"/>
    </row>
    <row r="75" spans="1:13">
      <c r="A75" s="8"/>
      <c r="B75" s="8"/>
      <c r="C75" s="8"/>
      <c r="D75" s="15"/>
      <c r="E75" s="15"/>
      <c r="F75" s="15"/>
      <c r="G75" s="15"/>
      <c r="H75" s="15"/>
      <c r="I75" s="15"/>
      <c r="J75" s="15"/>
      <c r="K75" s="15"/>
      <c r="L75" s="8"/>
      <c r="M75" s="8"/>
    </row>
    <row r="76" spans="1:13">
      <c r="A76" s="8">
        <v>32</v>
      </c>
      <c r="B76" s="8" t="s">
        <v>25</v>
      </c>
      <c r="C76" s="8" t="s">
        <v>12</v>
      </c>
      <c r="D76" s="15">
        <v>12162.18</v>
      </c>
      <c r="E76" s="15">
        <v>268.83</v>
      </c>
      <c r="F76" s="15">
        <v>213.02</v>
      </c>
      <c r="G76" s="15">
        <v>179.28</v>
      </c>
      <c r="H76" s="15">
        <v>173.17</v>
      </c>
      <c r="I76" s="15"/>
      <c r="J76" s="15"/>
      <c r="K76" s="15">
        <f>SUM(D76:J76)</f>
        <v>12996.480000000001</v>
      </c>
      <c r="L76" s="8"/>
      <c r="M76" s="8"/>
    </row>
    <row r="77" spans="1:13">
      <c r="A77" s="8"/>
      <c r="B77" s="8"/>
      <c r="C77" s="8" t="s">
        <v>13</v>
      </c>
      <c r="D77" s="15">
        <v>310.56</v>
      </c>
      <c r="E77" s="15">
        <v>10.86</v>
      </c>
      <c r="F77" s="15">
        <v>9.14</v>
      </c>
      <c r="G77" s="15">
        <v>4.4000000000000004</v>
      </c>
      <c r="H77" s="15">
        <v>4.16</v>
      </c>
      <c r="I77" s="15"/>
      <c r="J77" s="15"/>
      <c r="K77" s="15">
        <f>SUM(D77:J77)</f>
        <v>339.12</v>
      </c>
      <c r="L77" s="8"/>
      <c r="M77" s="8"/>
    </row>
    <row r="78" spans="1:13">
      <c r="A78" s="8"/>
      <c r="B78" s="8"/>
      <c r="C78" s="8" t="s">
        <v>73</v>
      </c>
      <c r="D78" s="15"/>
      <c r="E78" s="8">
        <v>29.42</v>
      </c>
      <c r="F78" s="8">
        <v>22.07</v>
      </c>
      <c r="G78" s="8">
        <v>18.54</v>
      </c>
      <c r="H78" s="8">
        <v>18.29</v>
      </c>
      <c r="I78" s="8"/>
      <c r="J78" s="8"/>
      <c r="K78" s="15">
        <f>SUM(D78:J78)</f>
        <v>88.32</v>
      </c>
      <c r="L78" s="8"/>
      <c r="M78" s="8"/>
    </row>
    <row r="79" spans="1:13">
      <c r="A79" s="8"/>
      <c r="B79" s="8"/>
      <c r="C79" s="8" t="s">
        <v>78</v>
      </c>
      <c r="D79" s="15"/>
      <c r="E79" s="8">
        <v>44.12</v>
      </c>
      <c r="F79" s="8">
        <v>33.659999999999997</v>
      </c>
      <c r="G79" s="8">
        <v>27.82</v>
      </c>
      <c r="H79" s="8">
        <v>27.49</v>
      </c>
      <c r="I79" s="8"/>
      <c r="J79" s="8"/>
      <c r="K79" s="15">
        <f>SUM(D79:J79)</f>
        <v>133.09</v>
      </c>
      <c r="L79" s="8"/>
      <c r="M79" s="8"/>
    </row>
    <row r="80" spans="1:13">
      <c r="A80" s="8"/>
      <c r="B80" s="8"/>
      <c r="C80" s="8"/>
      <c r="D80" s="15"/>
      <c r="E80" s="8"/>
      <c r="F80" s="8"/>
      <c r="G80" s="8"/>
      <c r="H80" s="8"/>
      <c r="I80" s="8"/>
      <c r="J80" s="8"/>
      <c r="K80" s="15"/>
      <c r="L80" s="8"/>
      <c r="M80" s="8"/>
    </row>
    <row r="81" spans="1:13">
      <c r="A81" s="8"/>
      <c r="B81" s="8"/>
      <c r="C81" s="8" t="s">
        <v>10</v>
      </c>
      <c r="D81" s="15">
        <f t="shared" ref="D81:J81" si="11">SUM(D76:D79)</f>
        <v>12472.74</v>
      </c>
      <c r="E81" s="15">
        <f t="shared" si="11"/>
        <v>353.23</v>
      </c>
      <c r="F81" s="15">
        <f t="shared" si="11"/>
        <v>277.89</v>
      </c>
      <c r="G81" s="15">
        <f t="shared" si="11"/>
        <v>230.04</v>
      </c>
      <c r="H81" s="15">
        <f t="shared" si="11"/>
        <v>223.10999999999999</v>
      </c>
      <c r="I81" s="15">
        <f t="shared" si="11"/>
        <v>0</v>
      </c>
      <c r="J81" s="15">
        <f t="shared" si="11"/>
        <v>0</v>
      </c>
      <c r="K81" s="15">
        <f>SUM(D81:J81)</f>
        <v>13557.01</v>
      </c>
      <c r="L81" s="8"/>
      <c r="M81" s="8"/>
    </row>
    <row r="82" spans="1:13">
      <c r="A82" s="8"/>
      <c r="B82" s="8"/>
      <c r="C82" s="8"/>
      <c r="D82" s="15"/>
      <c r="E82" s="15"/>
      <c r="F82" s="15"/>
      <c r="G82" s="15"/>
      <c r="H82" s="15"/>
      <c r="I82" s="15"/>
      <c r="J82" s="15"/>
      <c r="K82" s="15"/>
      <c r="L82" s="8"/>
      <c r="M82" s="8"/>
    </row>
    <row r="83" spans="1:13">
      <c r="A83" s="8"/>
      <c r="B83" s="8"/>
      <c r="C83" s="8"/>
      <c r="D83" s="15"/>
      <c r="E83" s="15"/>
      <c r="F83" s="15"/>
      <c r="G83" s="15"/>
      <c r="H83" s="15"/>
      <c r="I83" s="15"/>
      <c r="J83" s="15"/>
      <c r="K83" s="15"/>
      <c r="L83" s="8"/>
      <c r="M83" s="8"/>
    </row>
    <row r="84" spans="1:13">
      <c r="A84" s="8">
        <v>33</v>
      </c>
      <c r="B84" s="8" t="s">
        <v>26</v>
      </c>
      <c r="C84" s="8" t="s">
        <v>12</v>
      </c>
      <c r="D84" s="15">
        <v>9159.08</v>
      </c>
      <c r="E84" s="15">
        <v>1062.6300000000001</v>
      </c>
      <c r="F84" s="15">
        <v>283.81</v>
      </c>
      <c r="G84" s="15">
        <v>0.04</v>
      </c>
      <c r="H84" s="15">
        <v>0.04</v>
      </c>
      <c r="I84" s="15"/>
      <c r="J84" s="15"/>
      <c r="K84" s="15">
        <f>SUM(D84:J84)</f>
        <v>10505.6</v>
      </c>
      <c r="L84" s="8"/>
      <c r="M84" s="8"/>
    </row>
    <row r="85" spans="1:13">
      <c r="A85" s="8"/>
      <c r="B85" s="8"/>
      <c r="C85" s="8" t="s">
        <v>13</v>
      </c>
      <c r="D85" s="15">
        <v>130.06</v>
      </c>
      <c r="E85" s="15">
        <v>15.31</v>
      </c>
      <c r="F85" s="15">
        <v>3.94</v>
      </c>
      <c r="G85" s="15">
        <v>-0.04</v>
      </c>
      <c r="H85" s="15">
        <v>-0.04</v>
      </c>
      <c r="I85" s="15"/>
      <c r="J85" s="15"/>
      <c r="K85" s="15">
        <f>SUM(D85:J85)</f>
        <v>149.23000000000002</v>
      </c>
      <c r="L85" s="8"/>
      <c r="M85" s="8"/>
    </row>
    <row r="86" spans="1:13">
      <c r="A86" s="8"/>
      <c r="B86" s="8"/>
      <c r="C86" s="8"/>
      <c r="D86" s="15"/>
      <c r="E86" s="15"/>
      <c r="F86" s="15"/>
      <c r="G86" s="15"/>
      <c r="H86" s="15"/>
      <c r="I86" s="15"/>
      <c r="J86" s="15"/>
      <c r="K86" s="15"/>
      <c r="L86" s="8"/>
      <c r="M86" s="8"/>
    </row>
    <row r="87" spans="1:13">
      <c r="A87" s="8"/>
      <c r="B87" s="8"/>
      <c r="C87" s="8" t="s">
        <v>10</v>
      </c>
      <c r="D87" s="15">
        <f t="shared" ref="D87:J87" si="12">SUM(D84:D85)</f>
        <v>9289.14</v>
      </c>
      <c r="E87" s="15">
        <f t="shared" si="12"/>
        <v>1077.94</v>
      </c>
      <c r="F87" s="15">
        <f t="shared" si="12"/>
        <v>287.75</v>
      </c>
      <c r="G87" s="15">
        <f t="shared" si="12"/>
        <v>0</v>
      </c>
      <c r="H87" s="15">
        <f t="shared" si="12"/>
        <v>0</v>
      </c>
      <c r="I87" s="15">
        <f t="shared" si="12"/>
        <v>0</v>
      </c>
      <c r="J87" s="15">
        <f t="shared" si="12"/>
        <v>0</v>
      </c>
      <c r="K87" s="15">
        <f>SUM(D87:J87)</f>
        <v>10654.83</v>
      </c>
      <c r="L87" s="8"/>
      <c r="M87" s="8"/>
    </row>
    <row r="88" spans="1:13">
      <c r="A88" s="8"/>
      <c r="B88" s="8"/>
      <c r="C88" s="8"/>
      <c r="D88" s="15"/>
      <c r="E88" s="15"/>
      <c r="F88" s="15"/>
      <c r="G88" s="15"/>
      <c r="H88" s="15"/>
      <c r="I88" s="15"/>
      <c r="J88" s="15"/>
      <c r="K88" s="15"/>
      <c r="L88" s="8"/>
      <c r="M88" s="8"/>
    </row>
    <row r="89" spans="1:13">
      <c r="A89" s="8"/>
      <c r="B89" s="8"/>
      <c r="C89" s="8"/>
      <c r="D89" s="15"/>
      <c r="E89" s="15"/>
      <c r="F89" s="15"/>
      <c r="G89" s="15"/>
      <c r="H89" s="15"/>
      <c r="I89" s="15"/>
      <c r="J89" s="15"/>
      <c r="K89" s="15"/>
      <c r="L89" s="8"/>
      <c r="M89" s="8"/>
    </row>
    <row r="90" spans="1:13">
      <c r="A90" s="8">
        <v>34</v>
      </c>
      <c r="B90" s="8" t="s">
        <v>27</v>
      </c>
      <c r="C90" s="8" t="s">
        <v>12</v>
      </c>
      <c r="D90" s="15">
        <v>6617.51</v>
      </c>
      <c r="E90" s="15">
        <v>82.12</v>
      </c>
      <c r="F90" s="15">
        <v>89.72</v>
      </c>
      <c r="G90" s="15">
        <v>-0.06</v>
      </c>
      <c r="H90" s="15"/>
      <c r="I90" s="15"/>
      <c r="J90" s="15"/>
      <c r="K90" s="15">
        <f>SUM(D90:J90)</f>
        <v>6789.29</v>
      </c>
      <c r="L90" s="8"/>
      <c r="M90" s="8"/>
    </row>
    <row r="91" spans="1:13">
      <c r="A91" s="8"/>
      <c r="B91" s="8"/>
      <c r="C91" s="8" t="s">
        <v>13</v>
      </c>
      <c r="D91" s="15">
        <v>584.63</v>
      </c>
      <c r="E91" s="15">
        <v>6.84</v>
      </c>
      <c r="F91" s="15">
        <v>7.14</v>
      </c>
      <c r="G91" s="15">
        <v>0.06</v>
      </c>
      <c r="H91" s="15"/>
      <c r="I91" s="15"/>
      <c r="J91" s="15"/>
      <c r="K91" s="15">
        <f>SUM(D91:J91)</f>
        <v>598.66999999999996</v>
      </c>
      <c r="L91" s="8"/>
      <c r="M91" s="8"/>
    </row>
    <row r="92" spans="1:13">
      <c r="A92" s="8"/>
      <c r="B92" s="8"/>
      <c r="C92" s="8" t="s">
        <v>78</v>
      </c>
      <c r="D92" s="15">
        <v>1102.8599999999999</v>
      </c>
      <c r="E92" s="15">
        <v>13.58</v>
      </c>
      <c r="F92" s="15">
        <v>9.7799999999999994</v>
      </c>
      <c r="G92" s="15"/>
      <c r="H92" s="15"/>
      <c r="I92" s="15"/>
      <c r="J92" s="15"/>
      <c r="K92" s="15">
        <f>SUM(D92:J92)</f>
        <v>1126.2199999999998</v>
      </c>
      <c r="L92" s="8"/>
      <c r="M92" s="8"/>
    </row>
    <row r="93" spans="1:13">
      <c r="A93" s="8"/>
      <c r="B93" s="8"/>
      <c r="C93" s="8"/>
      <c r="D93" s="15"/>
      <c r="E93" s="15"/>
      <c r="F93" s="15"/>
      <c r="G93" s="15"/>
      <c r="H93" s="15"/>
      <c r="I93" s="15"/>
      <c r="J93" s="15"/>
      <c r="K93" s="15"/>
      <c r="L93" s="8"/>
      <c r="M93" s="8"/>
    </row>
    <row r="94" spans="1:13">
      <c r="A94" s="8"/>
      <c r="B94" s="8"/>
      <c r="C94" s="8" t="s">
        <v>10</v>
      </c>
      <c r="D94" s="15">
        <f t="shared" ref="D94:J94" si="13">SUM(D90:D93)</f>
        <v>8305</v>
      </c>
      <c r="E94" s="15">
        <f t="shared" si="13"/>
        <v>102.54</v>
      </c>
      <c r="F94" s="15">
        <f t="shared" si="13"/>
        <v>106.64</v>
      </c>
      <c r="G94" s="15">
        <f t="shared" si="13"/>
        <v>0</v>
      </c>
      <c r="H94" s="15">
        <f t="shared" si="13"/>
        <v>0</v>
      </c>
      <c r="I94" s="15">
        <f t="shared" si="13"/>
        <v>0</v>
      </c>
      <c r="J94" s="15">
        <f t="shared" si="13"/>
        <v>0</v>
      </c>
      <c r="K94" s="15">
        <f>SUM(D94:J94)</f>
        <v>8514.18</v>
      </c>
      <c r="L94" s="8"/>
      <c r="M94" s="8"/>
    </row>
    <row r="95" spans="1:13">
      <c r="A95" s="8"/>
      <c r="B95" s="8"/>
      <c r="C95" s="8"/>
      <c r="D95" s="15"/>
      <c r="E95" s="15"/>
      <c r="F95" s="15"/>
      <c r="G95" s="15"/>
      <c r="H95" s="15"/>
      <c r="I95" s="15"/>
      <c r="J95" s="15"/>
      <c r="K95" s="15"/>
      <c r="L95" s="8"/>
      <c r="M95" s="8"/>
    </row>
    <row r="96" spans="1:13">
      <c r="A96" s="8"/>
      <c r="B96" s="8"/>
      <c r="C96" s="8"/>
      <c r="D96" s="15"/>
      <c r="E96" s="15"/>
      <c r="F96" s="15"/>
      <c r="G96" s="15"/>
      <c r="H96" s="15"/>
      <c r="I96" s="15"/>
      <c r="J96" s="15"/>
      <c r="K96" s="15"/>
      <c r="L96" s="8"/>
      <c r="M96" s="8"/>
    </row>
    <row r="97" spans="1:13">
      <c r="A97" s="8">
        <v>35</v>
      </c>
      <c r="B97" s="8" t="s">
        <v>28</v>
      </c>
      <c r="C97" s="8" t="s">
        <v>12</v>
      </c>
      <c r="D97" s="15">
        <v>6139.88</v>
      </c>
      <c r="E97" s="15">
        <v>255.98</v>
      </c>
      <c r="F97" s="15">
        <v>57.62</v>
      </c>
      <c r="G97" s="15">
        <v>24.55</v>
      </c>
      <c r="H97" s="15">
        <v>17.579999999999998</v>
      </c>
      <c r="I97" s="15">
        <v>0</v>
      </c>
      <c r="J97" s="15"/>
      <c r="K97" s="15">
        <f>SUM(D97:J97)</f>
        <v>6495.61</v>
      </c>
      <c r="L97" s="8"/>
      <c r="M97" s="8"/>
    </row>
    <row r="98" spans="1:13">
      <c r="A98" s="8"/>
      <c r="B98" s="8"/>
      <c r="C98" s="8"/>
      <c r="D98" s="15"/>
      <c r="E98" s="15"/>
      <c r="F98" s="15"/>
      <c r="G98" s="15"/>
      <c r="H98" s="15"/>
      <c r="I98" s="15" t="s">
        <v>70</v>
      </c>
      <c r="J98" s="15" t="s">
        <v>70</v>
      </c>
      <c r="K98" s="15"/>
      <c r="L98" s="8"/>
      <c r="M98" s="8"/>
    </row>
    <row r="99" spans="1:13">
      <c r="A99" s="8"/>
      <c r="B99" s="8"/>
      <c r="C99" s="8" t="s">
        <v>10</v>
      </c>
      <c r="D99" s="15">
        <f t="shared" ref="D99:J99" si="14">SUM(D97:D98)</f>
        <v>6139.88</v>
      </c>
      <c r="E99" s="15">
        <f t="shared" si="14"/>
        <v>255.98</v>
      </c>
      <c r="F99" s="15">
        <f t="shared" si="14"/>
        <v>57.62</v>
      </c>
      <c r="G99" s="15">
        <f t="shared" si="14"/>
        <v>24.55</v>
      </c>
      <c r="H99" s="15">
        <f t="shared" si="14"/>
        <v>17.579999999999998</v>
      </c>
      <c r="I99" s="15">
        <f t="shared" si="14"/>
        <v>0</v>
      </c>
      <c r="J99" s="15">
        <f t="shared" si="14"/>
        <v>0</v>
      </c>
      <c r="K99" s="15">
        <f>SUM(D99:J99)</f>
        <v>6495.61</v>
      </c>
      <c r="L99" s="8"/>
      <c r="M99" s="8"/>
    </row>
    <row r="100" spans="1:13">
      <c r="A100" s="8"/>
      <c r="B100" s="8"/>
      <c r="C100" s="8"/>
      <c r="D100" s="15"/>
      <c r="E100" s="15"/>
      <c r="F100" s="15"/>
      <c r="G100" s="15"/>
      <c r="H100" s="15"/>
      <c r="I100" s="15"/>
      <c r="J100" s="15"/>
      <c r="K100" s="15"/>
      <c r="L100" s="8"/>
      <c r="M100" s="8"/>
    </row>
    <row r="101" spans="1:13">
      <c r="A101" s="8"/>
      <c r="B101" s="8"/>
      <c r="C101" s="8"/>
      <c r="D101" s="15"/>
      <c r="E101" s="15"/>
      <c r="F101" s="15"/>
      <c r="G101" s="15"/>
      <c r="H101" s="15"/>
      <c r="I101" s="15"/>
      <c r="J101" s="15"/>
      <c r="K101" s="15"/>
      <c r="L101" s="8"/>
      <c r="M101" s="8"/>
    </row>
    <row r="102" spans="1:13">
      <c r="A102" s="8">
        <v>36</v>
      </c>
      <c r="B102" s="8" t="s">
        <v>29</v>
      </c>
      <c r="C102" s="8" t="s">
        <v>12</v>
      </c>
      <c r="D102" s="15">
        <v>6539.92</v>
      </c>
      <c r="E102" s="15">
        <v>301.83999999999997</v>
      </c>
      <c r="F102" s="15">
        <v>70.650000000000006</v>
      </c>
      <c r="G102" s="15">
        <v>18.93</v>
      </c>
      <c r="H102" s="15"/>
      <c r="I102" s="15"/>
      <c r="J102" s="15"/>
      <c r="K102" s="15">
        <f>SUM(D102:J102)</f>
        <v>6931.34</v>
      </c>
      <c r="L102" s="8"/>
      <c r="M102" s="8"/>
    </row>
    <row r="103" spans="1:13">
      <c r="A103" s="8"/>
      <c r="B103" s="8"/>
      <c r="C103" s="8" t="s">
        <v>13</v>
      </c>
      <c r="D103" s="15">
        <v>408.22</v>
      </c>
      <c r="E103" s="15">
        <v>19.239999999999998</v>
      </c>
      <c r="F103" s="15">
        <v>4.3</v>
      </c>
      <c r="G103" s="15">
        <v>1.06</v>
      </c>
      <c r="H103" s="15"/>
      <c r="I103" s="15"/>
      <c r="J103" s="15"/>
      <c r="K103" s="15">
        <f>SUM(D103:J103)</f>
        <v>432.82000000000005</v>
      </c>
      <c r="L103" s="8"/>
      <c r="M103" s="8"/>
    </row>
    <row r="104" spans="1:13">
      <c r="A104" s="8"/>
      <c r="B104" s="8"/>
      <c r="C104" s="8"/>
      <c r="D104" s="15"/>
      <c r="E104" s="15"/>
      <c r="F104" s="15"/>
      <c r="G104" s="15"/>
      <c r="H104" s="15"/>
      <c r="I104" s="15"/>
      <c r="J104" s="15"/>
      <c r="K104" s="15"/>
      <c r="L104" s="8"/>
      <c r="M104" s="8"/>
    </row>
    <row r="105" spans="1:13">
      <c r="A105" s="8"/>
      <c r="B105" s="8"/>
      <c r="C105" s="8" t="s">
        <v>10</v>
      </c>
      <c r="D105" s="15">
        <f t="shared" ref="D105:J105" si="15">SUM(D102:D103)</f>
        <v>6948.14</v>
      </c>
      <c r="E105" s="15">
        <f t="shared" si="15"/>
        <v>321.08</v>
      </c>
      <c r="F105" s="15">
        <f t="shared" si="15"/>
        <v>74.95</v>
      </c>
      <c r="G105" s="15">
        <f t="shared" si="15"/>
        <v>19.989999999999998</v>
      </c>
      <c r="H105" s="15">
        <f t="shared" si="15"/>
        <v>0</v>
      </c>
      <c r="I105" s="15">
        <f t="shared" si="15"/>
        <v>0</v>
      </c>
      <c r="J105" s="15">
        <f t="shared" si="15"/>
        <v>0</v>
      </c>
      <c r="K105" s="15">
        <f>SUM(D105:J105)</f>
        <v>7364.16</v>
      </c>
      <c r="L105" s="8"/>
      <c r="M105" s="8"/>
    </row>
    <row r="106" spans="1:13">
      <c r="A106" s="8"/>
      <c r="B106" s="8"/>
      <c r="C106" s="8"/>
      <c r="D106" s="15"/>
      <c r="E106" s="15"/>
      <c r="F106" s="15"/>
      <c r="G106" s="15"/>
      <c r="H106" s="15"/>
      <c r="I106" s="15"/>
      <c r="J106" s="15"/>
      <c r="K106" s="15"/>
      <c r="L106" s="8"/>
      <c r="M106" s="8"/>
    </row>
    <row r="107" spans="1:13">
      <c r="A107" s="8"/>
      <c r="B107" s="8"/>
      <c r="C107" s="8"/>
      <c r="D107" s="15"/>
      <c r="E107" s="15"/>
      <c r="F107" s="15"/>
      <c r="G107" s="15"/>
      <c r="H107" s="15"/>
      <c r="I107" s="15"/>
      <c r="J107" s="15"/>
      <c r="K107" s="15"/>
      <c r="L107" s="8"/>
      <c r="M107" s="8"/>
    </row>
    <row r="108" spans="1:13">
      <c r="A108" s="8">
        <v>37</v>
      </c>
      <c r="B108" s="8" t="s">
        <v>30</v>
      </c>
      <c r="C108" s="8" t="s">
        <v>12</v>
      </c>
      <c r="D108" s="15">
        <v>6726.93</v>
      </c>
      <c r="E108" s="15">
        <v>318.7</v>
      </c>
      <c r="F108" s="15">
        <v>30.92</v>
      </c>
      <c r="G108" s="15">
        <v>18.440000000000001</v>
      </c>
      <c r="H108" s="15">
        <v>18.07</v>
      </c>
      <c r="I108" s="15">
        <v>0</v>
      </c>
      <c r="J108" s="15"/>
      <c r="K108" s="15">
        <f>SUM(D108:J108)</f>
        <v>7113.0599999999995</v>
      </c>
      <c r="L108" s="8"/>
      <c r="M108" s="8"/>
    </row>
    <row r="109" spans="1:13">
      <c r="A109" s="8"/>
      <c r="B109" s="8"/>
      <c r="C109" s="8"/>
      <c r="D109" s="15"/>
      <c r="E109" s="15"/>
      <c r="F109" s="15"/>
      <c r="G109" s="15"/>
      <c r="H109" s="15"/>
      <c r="I109" s="15"/>
      <c r="J109" s="15"/>
      <c r="K109" s="15"/>
      <c r="L109" s="8"/>
      <c r="M109" s="8"/>
    </row>
    <row r="110" spans="1:13">
      <c r="A110" s="8"/>
      <c r="B110" s="8"/>
      <c r="C110" s="8" t="s">
        <v>10</v>
      </c>
      <c r="D110" s="15">
        <f t="shared" ref="D110:J110" si="16">SUM(D108:D109)</f>
        <v>6726.93</v>
      </c>
      <c r="E110" s="15">
        <f t="shared" si="16"/>
        <v>318.7</v>
      </c>
      <c r="F110" s="15">
        <f t="shared" si="16"/>
        <v>30.92</v>
      </c>
      <c r="G110" s="15">
        <f t="shared" si="16"/>
        <v>18.440000000000001</v>
      </c>
      <c r="H110" s="15">
        <f t="shared" si="16"/>
        <v>18.07</v>
      </c>
      <c r="I110" s="15">
        <f t="shared" si="16"/>
        <v>0</v>
      </c>
      <c r="J110" s="15">
        <f t="shared" si="16"/>
        <v>0</v>
      </c>
      <c r="K110" s="15">
        <f>SUM(D110:J110)</f>
        <v>7113.0599999999995</v>
      </c>
      <c r="L110" s="8"/>
      <c r="M110" s="8"/>
    </row>
    <row r="111" spans="1:13">
      <c r="A111" s="8"/>
      <c r="B111" s="8"/>
      <c r="C111" s="8"/>
      <c r="D111" s="15"/>
      <c r="E111" s="15"/>
      <c r="F111" s="15"/>
      <c r="G111" s="15"/>
      <c r="H111" s="15"/>
      <c r="I111" s="15" t="s">
        <v>70</v>
      </c>
      <c r="J111" s="15" t="s">
        <v>70</v>
      </c>
      <c r="K111" s="15"/>
      <c r="L111" s="8"/>
      <c r="M111" s="8"/>
    </row>
    <row r="112" spans="1:13">
      <c r="A112" s="8"/>
      <c r="B112" s="8"/>
      <c r="C112" s="8"/>
      <c r="D112" s="15"/>
      <c r="E112" s="15"/>
      <c r="F112" s="15"/>
      <c r="G112" s="15"/>
      <c r="H112" s="15"/>
      <c r="I112" s="15"/>
      <c r="J112" s="15"/>
      <c r="K112" s="15"/>
      <c r="L112" s="8"/>
      <c r="M112" s="8"/>
    </row>
    <row r="113" spans="1:13">
      <c r="A113" s="8">
        <v>38</v>
      </c>
      <c r="B113" s="8" t="s">
        <v>31</v>
      </c>
      <c r="C113" s="8" t="s">
        <v>12</v>
      </c>
      <c r="D113" s="15">
        <v>10285.44</v>
      </c>
      <c r="E113" s="15">
        <v>422.05</v>
      </c>
      <c r="F113" s="15">
        <v>268.62</v>
      </c>
      <c r="G113" s="15">
        <v>256.45999999999998</v>
      </c>
      <c r="H113" s="15">
        <v>251.07</v>
      </c>
      <c r="I113" s="15">
        <v>0.05</v>
      </c>
      <c r="J113" s="15"/>
      <c r="K113" s="15">
        <f>SUM(D113:J113)</f>
        <v>11483.689999999999</v>
      </c>
      <c r="L113" s="8"/>
      <c r="M113" s="8"/>
    </row>
    <row r="114" spans="1:13">
      <c r="A114" s="8"/>
      <c r="B114" s="8"/>
      <c r="C114" s="8" t="s">
        <v>35</v>
      </c>
      <c r="D114" s="15">
        <v>963.77</v>
      </c>
      <c r="E114" s="15"/>
      <c r="F114" s="15"/>
      <c r="G114" s="15"/>
      <c r="H114" s="15"/>
      <c r="I114" s="15"/>
      <c r="J114" s="15"/>
      <c r="K114" s="15">
        <f>SUM(D114:J114)</f>
        <v>963.77</v>
      </c>
      <c r="L114" s="8"/>
      <c r="M114" s="8"/>
    </row>
    <row r="115" spans="1:13">
      <c r="A115" s="8"/>
      <c r="B115" s="8"/>
      <c r="C115" s="8" t="s">
        <v>13</v>
      </c>
      <c r="D115" s="15">
        <v>715.81</v>
      </c>
      <c r="E115" s="15">
        <v>36.369999999999997</v>
      </c>
      <c r="F115" s="15">
        <v>23.39</v>
      </c>
      <c r="G115" s="15">
        <v>21</v>
      </c>
      <c r="H115" s="15">
        <v>20.64</v>
      </c>
      <c r="I115" s="15">
        <v>-0.05</v>
      </c>
      <c r="J115" s="15"/>
      <c r="K115" s="15">
        <f>SUM(D115:J115)</f>
        <v>817.16</v>
      </c>
      <c r="L115" s="8"/>
      <c r="M115" s="8"/>
    </row>
    <row r="116" spans="1:13">
      <c r="A116" s="8"/>
      <c r="B116" s="8"/>
      <c r="C116" s="8" t="s">
        <v>78</v>
      </c>
      <c r="D116" s="15">
        <v>1507.28</v>
      </c>
      <c r="E116" s="15">
        <v>69.28</v>
      </c>
      <c r="F116" s="15">
        <v>44.15</v>
      </c>
      <c r="G116" s="15">
        <v>41.92</v>
      </c>
      <c r="H116" s="15"/>
      <c r="I116" s="15"/>
      <c r="J116" s="15"/>
      <c r="K116" s="15">
        <f>SUM(D116:J116)</f>
        <v>1662.63</v>
      </c>
      <c r="L116" s="8"/>
      <c r="M116" s="8"/>
    </row>
    <row r="117" spans="1:13">
      <c r="A117" s="8"/>
      <c r="B117" s="8"/>
      <c r="C117" s="8"/>
      <c r="D117" s="15"/>
      <c r="E117" s="15"/>
      <c r="F117" s="15"/>
      <c r="G117" s="15"/>
      <c r="H117" s="15"/>
      <c r="I117" s="15"/>
      <c r="J117" s="15"/>
      <c r="K117" s="15"/>
      <c r="L117" s="8"/>
      <c r="M117" s="8"/>
    </row>
    <row r="118" spans="1:13">
      <c r="A118" s="8"/>
      <c r="B118" s="8"/>
      <c r="C118" s="8" t="s">
        <v>10</v>
      </c>
      <c r="D118" s="15">
        <f t="shared" ref="D118:J118" si="17">SUM(D113:D116)</f>
        <v>13472.300000000001</v>
      </c>
      <c r="E118" s="15">
        <f t="shared" si="17"/>
        <v>527.70000000000005</v>
      </c>
      <c r="F118" s="15">
        <f t="shared" si="17"/>
        <v>336.15999999999997</v>
      </c>
      <c r="G118" s="15">
        <f t="shared" si="17"/>
        <v>319.38</v>
      </c>
      <c r="H118" s="15">
        <f t="shared" si="17"/>
        <v>271.70999999999998</v>
      </c>
      <c r="I118" s="15">
        <f t="shared" si="17"/>
        <v>0</v>
      </c>
      <c r="J118" s="15">
        <f t="shared" si="17"/>
        <v>0</v>
      </c>
      <c r="K118" s="15">
        <f>SUM(D118:J118)</f>
        <v>14927.25</v>
      </c>
      <c r="L118" s="8"/>
      <c r="M118" s="8"/>
    </row>
    <row r="119" spans="1:13">
      <c r="A119" s="8"/>
      <c r="B119" s="8"/>
      <c r="C119" s="8"/>
      <c r="D119" s="15"/>
      <c r="E119" s="15"/>
      <c r="F119" s="15"/>
      <c r="G119" s="15"/>
      <c r="H119" s="15"/>
      <c r="I119" s="15"/>
      <c r="J119" s="15"/>
      <c r="K119" s="15"/>
      <c r="L119" s="8"/>
      <c r="M119" s="8"/>
    </row>
    <row r="120" spans="1:13">
      <c r="A120" s="8">
        <v>39</v>
      </c>
      <c r="B120" s="8" t="s">
        <v>32</v>
      </c>
      <c r="C120" s="8" t="s">
        <v>12</v>
      </c>
      <c r="D120" s="15">
        <v>0</v>
      </c>
      <c r="E120" s="15">
        <v>0</v>
      </c>
      <c r="F120" s="15">
        <v>0</v>
      </c>
      <c r="G120" s="15"/>
      <c r="H120" s="15"/>
      <c r="I120" s="15"/>
      <c r="J120" s="15"/>
      <c r="K120" s="15"/>
      <c r="L120" s="8"/>
      <c r="M120" s="8"/>
    </row>
    <row r="121" spans="1:13">
      <c r="A121" s="8"/>
      <c r="B121" s="8"/>
      <c r="C121" s="8"/>
      <c r="D121" s="15"/>
      <c r="E121" s="15"/>
      <c r="F121" s="15"/>
      <c r="G121" s="15"/>
      <c r="H121" s="15"/>
      <c r="I121" s="15"/>
      <c r="J121" s="15"/>
      <c r="K121" s="15"/>
      <c r="L121" s="8"/>
      <c r="M121" s="8"/>
    </row>
    <row r="122" spans="1:13">
      <c r="A122" s="8"/>
      <c r="B122" s="8"/>
      <c r="C122" s="8" t="s">
        <v>10</v>
      </c>
      <c r="D122" s="15"/>
      <c r="E122" s="15"/>
      <c r="F122" s="15"/>
      <c r="G122" s="15"/>
      <c r="H122" s="15"/>
      <c r="I122" s="15"/>
      <c r="J122" s="15"/>
      <c r="K122" s="15"/>
      <c r="L122" s="8"/>
      <c r="M122" s="8"/>
    </row>
    <row r="123" spans="1:13">
      <c r="A123" s="8"/>
      <c r="B123" s="8"/>
      <c r="C123" s="8"/>
      <c r="D123" s="15"/>
      <c r="E123" s="15"/>
      <c r="F123" s="15"/>
      <c r="G123" s="15"/>
      <c r="H123" s="15"/>
      <c r="I123" s="15"/>
      <c r="J123" s="15"/>
      <c r="K123" s="15"/>
      <c r="L123" s="8"/>
      <c r="M123" s="8"/>
    </row>
    <row r="124" spans="1:13">
      <c r="A124" s="8"/>
      <c r="B124" s="8"/>
      <c r="C124" s="8"/>
      <c r="D124" s="15"/>
      <c r="E124" s="15"/>
      <c r="F124" s="15"/>
      <c r="G124" s="15"/>
      <c r="H124" s="15"/>
      <c r="I124" s="15"/>
      <c r="J124" s="15"/>
      <c r="K124" s="15"/>
      <c r="L124" s="8"/>
      <c r="M124" s="8"/>
    </row>
    <row r="125" spans="1:13">
      <c r="A125" s="8">
        <v>40</v>
      </c>
      <c r="B125" s="8" t="s">
        <v>33</v>
      </c>
      <c r="C125" s="8" t="s">
        <v>12</v>
      </c>
      <c r="D125" s="15">
        <v>8200.3700000000008</v>
      </c>
      <c r="E125" s="15">
        <v>672.38</v>
      </c>
      <c r="F125" s="15">
        <v>246.72</v>
      </c>
      <c r="G125" s="15">
        <v>167.47</v>
      </c>
      <c r="H125" s="15">
        <v>2.38</v>
      </c>
      <c r="I125" s="15"/>
      <c r="J125" s="15"/>
      <c r="K125" s="15">
        <f>SUM(D125:J125)</f>
        <v>9289.3199999999979</v>
      </c>
      <c r="L125" s="8"/>
      <c r="M125" s="8"/>
    </row>
    <row r="126" spans="1:13">
      <c r="A126" s="8"/>
      <c r="B126" s="8"/>
      <c r="C126" s="8"/>
      <c r="D126" s="15"/>
      <c r="E126" s="15"/>
      <c r="F126" s="15"/>
      <c r="G126" s="15"/>
      <c r="H126" s="15"/>
      <c r="I126" s="15"/>
      <c r="J126" s="15"/>
      <c r="K126" s="15"/>
      <c r="L126" s="8"/>
      <c r="M126" s="8"/>
    </row>
    <row r="127" spans="1:13">
      <c r="A127" s="8"/>
      <c r="B127" s="8"/>
      <c r="C127" s="8" t="s">
        <v>10</v>
      </c>
      <c r="D127" s="15">
        <f t="shared" ref="D127:J127" si="18">SUM(D125:D126)</f>
        <v>8200.3700000000008</v>
      </c>
      <c r="E127" s="15">
        <f t="shared" si="18"/>
        <v>672.38</v>
      </c>
      <c r="F127" s="15">
        <f t="shared" si="18"/>
        <v>246.72</v>
      </c>
      <c r="G127" s="15">
        <f t="shared" si="18"/>
        <v>167.47</v>
      </c>
      <c r="H127" s="15">
        <f t="shared" si="18"/>
        <v>2.38</v>
      </c>
      <c r="I127" s="15">
        <f t="shared" si="18"/>
        <v>0</v>
      </c>
      <c r="J127" s="15">
        <f t="shared" si="18"/>
        <v>0</v>
      </c>
      <c r="K127" s="15">
        <f>SUM(D127:J127)</f>
        <v>9289.3199999999979</v>
      </c>
      <c r="L127" s="8"/>
      <c r="M127" s="8"/>
    </row>
    <row r="128" spans="1:13">
      <c r="A128" s="8"/>
      <c r="B128" s="8"/>
      <c r="C128" s="8"/>
      <c r="D128" s="15"/>
      <c r="E128" s="15"/>
      <c r="F128" s="15"/>
      <c r="G128" s="15"/>
      <c r="H128" s="15"/>
      <c r="I128" s="15"/>
      <c r="J128" s="15"/>
      <c r="K128" s="15"/>
      <c r="L128" s="8"/>
      <c r="M128" s="8"/>
    </row>
    <row r="129" spans="1:13">
      <c r="A129" s="8"/>
      <c r="B129" s="8"/>
      <c r="C129" s="8"/>
      <c r="D129" s="15"/>
      <c r="E129" s="15"/>
      <c r="F129" s="15"/>
      <c r="G129" s="15"/>
      <c r="H129" s="15"/>
      <c r="I129" s="15"/>
      <c r="J129" s="15"/>
      <c r="K129" s="15"/>
      <c r="L129" s="8"/>
      <c r="M129" s="8"/>
    </row>
    <row r="130" spans="1:13">
      <c r="A130" s="8">
        <v>41</v>
      </c>
      <c r="B130" s="8" t="s">
        <v>34</v>
      </c>
      <c r="C130" s="8" t="s">
        <v>12</v>
      </c>
      <c r="D130" s="15">
        <v>7196.49</v>
      </c>
      <c r="E130" s="15">
        <v>164.14</v>
      </c>
      <c r="F130" s="15">
        <v>54.73</v>
      </c>
      <c r="G130" s="15">
        <v>0.06</v>
      </c>
      <c r="H130" s="15"/>
      <c r="I130" s="15"/>
      <c r="J130" s="15"/>
      <c r="K130" s="15">
        <f>SUM(D130:J130)</f>
        <v>7415.42</v>
      </c>
      <c r="L130" s="8"/>
      <c r="M130" s="8"/>
    </row>
    <row r="131" spans="1:13">
      <c r="A131" s="8"/>
      <c r="B131" s="8"/>
      <c r="C131" s="8" t="s">
        <v>35</v>
      </c>
      <c r="D131" s="15">
        <v>348.92</v>
      </c>
      <c r="E131" s="15">
        <v>7.88</v>
      </c>
      <c r="F131" s="15">
        <v>2.52</v>
      </c>
      <c r="G131" s="15">
        <v>-0.06</v>
      </c>
      <c r="H131" s="15"/>
      <c r="I131" s="15"/>
      <c r="J131" s="15"/>
      <c r="K131" s="15">
        <f>SUM(D131:J131)</f>
        <v>359.26</v>
      </c>
      <c r="L131" s="8"/>
      <c r="M131" s="8"/>
    </row>
    <row r="132" spans="1:13">
      <c r="A132" s="8"/>
      <c r="B132" s="8"/>
      <c r="C132" s="8"/>
      <c r="D132" s="15"/>
      <c r="E132" s="15"/>
      <c r="F132" s="15"/>
      <c r="G132" s="15"/>
      <c r="H132" s="15"/>
      <c r="I132" s="15"/>
      <c r="J132" s="15"/>
      <c r="K132" s="15"/>
      <c r="L132" s="8"/>
      <c r="M132" s="8"/>
    </row>
    <row r="133" spans="1:13">
      <c r="A133" s="8"/>
      <c r="B133" s="8"/>
      <c r="C133" s="8" t="s">
        <v>10</v>
      </c>
      <c r="D133" s="15">
        <f t="shared" ref="D133:J133" si="19">SUM(D130:D131)</f>
        <v>7545.41</v>
      </c>
      <c r="E133" s="15">
        <f t="shared" si="19"/>
        <v>172.01999999999998</v>
      </c>
      <c r="F133" s="15">
        <f t="shared" si="19"/>
        <v>57.25</v>
      </c>
      <c r="G133" s="15">
        <f t="shared" si="19"/>
        <v>0</v>
      </c>
      <c r="H133" s="15">
        <f t="shared" si="19"/>
        <v>0</v>
      </c>
      <c r="I133" s="15">
        <f t="shared" si="19"/>
        <v>0</v>
      </c>
      <c r="J133" s="15">
        <f t="shared" si="19"/>
        <v>0</v>
      </c>
      <c r="K133" s="15">
        <f>SUM(D133:J133)</f>
        <v>7774.68</v>
      </c>
      <c r="L133" s="8"/>
      <c r="M133" s="8"/>
    </row>
    <row r="134" spans="1:13">
      <c r="A134" s="8"/>
      <c r="B134" s="8"/>
      <c r="C134" s="8"/>
      <c r="D134" s="15"/>
      <c r="E134" s="15"/>
      <c r="F134" s="15"/>
      <c r="G134" s="15"/>
      <c r="H134" s="15"/>
      <c r="I134" s="15"/>
      <c r="J134" s="15"/>
      <c r="K134" s="15"/>
      <c r="L134" s="8"/>
      <c r="M134" s="8"/>
    </row>
    <row r="135" spans="1:13">
      <c r="A135" s="8"/>
      <c r="B135" s="8"/>
      <c r="C135" s="8"/>
      <c r="D135" s="15"/>
      <c r="E135" s="15"/>
      <c r="F135" s="15"/>
      <c r="G135" s="15"/>
      <c r="H135" s="15"/>
      <c r="I135" s="15"/>
      <c r="J135" s="15"/>
      <c r="K135" s="15"/>
      <c r="L135" s="8"/>
      <c r="M135" s="8"/>
    </row>
    <row r="136" spans="1:13">
      <c r="A136" s="8">
        <v>42</v>
      </c>
      <c r="B136" s="8" t="s">
        <v>36</v>
      </c>
      <c r="C136" s="8" t="s">
        <v>12</v>
      </c>
      <c r="D136" s="15">
        <v>8126.16</v>
      </c>
      <c r="E136" s="15">
        <v>96.21</v>
      </c>
      <c r="F136" s="15">
        <v>92.02</v>
      </c>
      <c r="G136" s="15">
        <v>-0.09</v>
      </c>
      <c r="H136" s="15"/>
      <c r="I136" s="15"/>
      <c r="J136" s="15"/>
      <c r="K136" s="15">
        <f>SUM(D136:J136)</f>
        <v>8314.2999999999993</v>
      </c>
      <c r="L136" s="8"/>
      <c r="M136" s="8"/>
    </row>
    <row r="137" spans="1:13">
      <c r="A137" s="8"/>
      <c r="B137" s="8"/>
      <c r="C137" s="8" t="s">
        <v>13</v>
      </c>
      <c r="D137" s="15">
        <v>192.36</v>
      </c>
      <c r="E137" s="15">
        <v>3.5</v>
      </c>
      <c r="F137" s="15">
        <v>3.04</v>
      </c>
      <c r="G137" s="15">
        <v>0.09</v>
      </c>
      <c r="H137" s="15"/>
      <c r="I137" s="15"/>
      <c r="J137" s="15"/>
      <c r="K137" s="15">
        <f>SUM(D137:J137)</f>
        <v>198.99</v>
      </c>
      <c r="L137" s="8"/>
      <c r="M137" s="8"/>
    </row>
    <row r="138" spans="1:13">
      <c r="A138" s="8"/>
      <c r="B138" s="8"/>
      <c r="C138" s="8"/>
      <c r="D138" s="15"/>
      <c r="E138" s="15"/>
      <c r="F138" s="15"/>
      <c r="G138" s="15"/>
      <c r="H138" s="15"/>
      <c r="I138" s="15"/>
      <c r="J138" s="15"/>
      <c r="K138" s="15"/>
      <c r="L138" s="8"/>
      <c r="M138" s="8"/>
    </row>
    <row r="139" spans="1:13">
      <c r="A139" s="8"/>
      <c r="B139" s="8"/>
      <c r="C139" s="8" t="s">
        <v>10</v>
      </c>
      <c r="D139" s="15">
        <f t="shared" ref="D139:J139" si="20">SUM(D136:D137)</f>
        <v>8318.52</v>
      </c>
      <c r="E139" s="15">
        <f t="shared" si="20"/>
        <v>99.71</v>
      </c>
      <c r="F139" s="15">
        <f t="shared" si="20"/>
        <v>95.06</v>
      </c>
      <c r="G139" s="15">
        <f t="shared" si="20"/>
        <v>0</v>
      </c>
      <c r="H139" s="15">
        <f t="shared" si="20"/>
        <v>0</v>
      </c>
      <c r="I139" s="15">
        <f t="shared" si="20"/>
        <v>0</v>
      </c>
      <c r="J139" s="15">
        <f t="shared" si="20"/>
        <v>0</v>
      </c>
      <c r="K139" s="15">
        <f>SUM(D139:J139)</f>
        <v>8513.2899999999991</v>
      </c>
      <c r="L139" s="8"/>
      <c r="M139" s="8"/>
    </row>
    <row r="140" spans="1:13">
      <c r="A140" s="8"/>
      <c r="B140" s="8"/>
      <c r="C140" s="8"/>
      <c r="D140" s="15"/>
      <c r="E140" s="15"/>
      <c r="F140" s="15"/>
      <c r="G140" s="15"/>
      <c r="H140" s="15"/>
      <c r="I140" s="15"/>
      <c r="J140" s="15"/>
      <c r="K140" s="15"/>
      <c r="L140" s="8"/>
      <c r="M140" s="8"/>
    </row>
    <row r="141" spans="1:13">
      <c r="A141" s="8"/>
      <c r="B141" s="8"/>
      <c r="C141" s="8"/>
      <c r="D141" s="15"/>
      <c r="E141" s="15"/>
      <c r="F141" s="15"/>
      <c r="G141" s="15"/>
      <c r="H141" s="15"/>
      <c r="I141" s="15"/>
      <c r="J141" s="15"/>
      <c r="K141" s="15"/>
      <c r="L141" s="8"/>
      <c r="M141" s="8"/>
    </row>
    <row r="142" spans="1:13">
      <c r="A142" s="8">
        <v>43</v>
      </c>
      <c r="B142" s="8" t="s">
        <v>37</v>
      </c>
      <c r="C142" s="8" t="s">
        <v>12</v>
      </c>
      <c r="D142" s="15">
        <v>6933.24</v>
      </c>
      <c r="E142" s="15">
        <v>68.8</v>
      </c>
      <c r="F142" s="15">
        <v>0.09</v>
      </c>
      <c r="G142" s="15">
        <v>-0.28999999999999998</v>
      </c>
      <c r="H142" s="15"/>
      <c r="I142" s="15"/>
      <c r="J142" s="15"/>
      <c r="K142" s="15">
        <f>SUM(D142:J142)</f>
        <v>7001.84</v>
      </c>
      <c r="L142" s="8"/>
      <c r="M142" s="8"/>
    </row>
    <row r="143" spans="1:13">
      <c r="A143" s="8"/>
      <c r="B143" s="8"/>
      <c r="C143" s="8" t="s">
        <v>35</v>
      </c>
      <c r="D143" s="15">
        <v>352.4</v>
      </c>
      <c r="E143" s="15">
        <v>3.5</v>
      </c>
      <c r="F143" s="15">
        <v>0.01</v>
      </c>
      <c r="G143" s="15">
        <v>0.2</v>
      </c>
      <c r="H143" s="15"/>
      <c r="I143" s="15"/>
      <c r="J143" s="15"/>
      <c r="K143" s="15">
        <f>SUM(D143:J143)</f>
        <v>356.10999999999996</v>
      </c>
      <c r="L143" s="8"/>
      <c r="M143" s="8"/>
    </row>
    <row r="144" spans="1:13">
      <c r="A144" s="8"/>
      <c r="B144" s="8"/>
      <c r="C144" s="8" t="s">
        <v>13</v>
      </c>
      <c r="D144" s="15">
        <v>525.12</v>
      </c>
      <c r="E144" s="15">
        <v>5.07</v>
      </c>
      <c r="F144" s="15">
        <v>-0.1</v>
      </c>
      <c r="G144" s="15">
        <v>0.09</v>
      </c>
      <c r="H144" s="15"/>
      <c r="I144" s="15"/>
      <c r="J144" s="15"/>
      <c r="K144" s="15">
        <f>SUM(D144:J144)</f>
        <v>530.18000000000006</v>
      </c>
      <c r="L144" s="8"/>
      <c r="M144" s="8"/>
    </row>
    <row r="145" spans="1:13">
      <c r="A145" s="8"/>
      <c r="B145" s="8"/>
      <c r="C145" s="8" t="s">
        <v>87</v>
      </c>
      <c r="D145" s="15">
        <v>1057.75</v>
      </c>
      <c r="E145" s="15">
        <v>10.36</v>
      </c>
      <c r="F145" s="15"/>
      <c r="G145" s="15"/>
      <c r="H145" s="15"/>
      <c r="I145" s="15"/>
      <c r="J145" s="15"/>
      <c r="K145" s="15">
        <f>SUM(D145:J145)</f>
        <v>1068.1099999999999</v>
      </c>
      <c r="L145" s="8"/>
      <c r="M145" s="8"/>
    </row>
    <row r="146" spans="1:13">
      <c r="A146" s="8"/>
      <c r="B146" s="8"/>
      <c r="C146" s="8"/>
      <c r="D146" s="15"/>
      <c r="E146" s="15"/>
      <c r="F146" s="15"/>
      <c r="G146" s="15"/>
      <c r="H146" s="15"/>
      <c r="I146" s="15"/>
      <c r="J146" s="15"/>
      <c r="K146" s="15"/>
      <c r="L146" s="8"/>
      <c r="M146" s="8"/>
    </row>
    <row r="147" spans="1:13">
      <c r="A147" s="8"/>
      <c r="B147" s="8"/>
      <c r="C147" s="8" t="s">
        <v>10</v>
      </c>
      <c r="D147" s="15">
        <f>SUM(D142:D145)</f>
        <v>8868.5099999999984</v>
      </c>
      <c r="E147" s="15">
        <f>SUM(E142:E145)</f>
        <v>87.73</v>
      </c>
      <c r="F147" s="15">
        <f>SUM(F142:F144)</f>
        <v>0</v>
      </c>
      <c r="G147" s="15">
        <f>SUM(G142:G144)</f>
        <v>0</v>
      </c>
      <c r="H147" s="15">
        <f>SUM(H142:H144)</f>
        <v>0</v>
      </c>
      <c r="I147" s="15">
        <f>SUM(I142:I144)</f>
        <v>0</v>
      </c>
      <c r="J147" s="15">
        <f>SUM(J142:J144)</f>
        <v>0</v>
      </c>
      <c r="K147" s="15">
        <f>SUM(D147:J147)</f>
        <v>8956.239999999998</v>
      </c>
      <c r="L147" s="8"/>
      <c r="M147" s="8"/>
    </row>
    <row r="148" spans="1:13">
      <c r="A148" s="8"/>
      <c r="B148" s="8"/>
      <c r="C148" s="8"/>
      <c r="D148" s="15"/>
      <c r="E148" s="15"/>
      <c r="F148" s="15"/>
      <c r="G148" s="15"/>
      <c r="H148" s="15"/>
      <c r="I148" s="15"/>
      <c r="J148" s="15"/>
      <c r="K148" s="15"/>
      <c r="L148" s="8"/>
      <c r="M148" s="8"/>
    </row>
    <row r="149" spans="1:13">
      <c r="A149" s="8"/>
      <c r="B149" s="8"/>
      <c r="C149" s="8"/>
      <c r="D149" s="15"/>
      <c r="E149" s="15"/>
      <c r="F149" s="15"/>
      <c r="G149" s="15"/>
      <c r="H149" s="15"/>
      <c r="I149" s="15"/>
      <c r="J149" s="15"/>
      <c r="K149" s="15"/>
      <c r="L149" s="8"/>
      <c r="M149" s="8"/>
    </row>
    <row r="150" spans="1:13">
      <c r="A150" s="8">
        <v>44</v>
      </c>
      <c r="B150" s="8" t="s">
        <v>38</v>
      </c>
      <c r="C150" s="8" t="s">
        <v>12</v>
      </c>
      <c r="D150" s="15">
        <v>10925.41</v>
      </c>
      <c r="E150" s="15">
        <v>338.38</v>
      </c>
      <c r="F150" s="15">
        <v>264.44</v>
      </c>
      <c r="G150" s="15">
        <v>186.24</v>
      </c>
      <c r="H150" s="15">
        <v>78.87</v>
      </c>
      <c r="I150" s="15">
        <v>0</v>
      </c>
      <c r="J150" s="15"/>
      <c r="K150" s="15">
        <f>SUM(D150:J150)</f>
        <v>11793.34</v>
      </c>
      <c r="L150" s="8"/>
      <c r="M150" s="8"/>
    </row>
    <row r="151" spans="1:13">
      <c r="A151" s="8"/>
      <c r="B151" s="8"/>
      <c r="C151" s="8"/>
      <c r="D151" s="15"/>
      <c r="E151" s="15"/>
      <c r="F151" s="15"/>
      <c r="G151" s="15"/>
      <c r="H151" s="15"/>
      <c r="I151" s="15"/>
      <c r="J151" s="15"/>
      <c r="K151" s="15"/>
      <c r="L151" s="8"/>
      <c r="M151" s="8"/>
    </row>
    <row r="152" spans="1:13">
      <c r="A152" s="8"/>
      <c r="B152" s="8"/>
      <c r="C152" s="8" t="s">
        <v>10</v>
      </c>
      <c r="D152" s="15">
        <f t="shared" ref="D152:J152" si="21">SUM(D150:D151)</f>
        <v>10925.41</v>
      </c>
      <c r="E152" s="15">
        <f t="shared" si="21"/>
        <v>338.38</v>
      </c>
      <c r="F152" s="15">
        <f t="shared" si="21"/>
        <v>264.44</v>
      </c>
      <c r="G152" s="15">
        <f t="shared" si="21"/>
        <v>186.24</v>
      </c>
      <c r="H152" s="15">
        <f t="shared" si="21"/>
        <v>78.87</v>
      </c>
      <c r="I152" s="15">
        <f t="shared" si="21"/>
        <v>0</v>
      </c>
      <c r="J152" s="15">
        <f t="shared" si="21"/>
        <v>0</v>
      </c>
      <c r="K152" s="15">
        <f>SUM(D152:J152)</f>
        <v>11793.34</v>
      </c>
      <c r="L152" s="8"/>
      <c r="M152" s="8"/>
    </row>
    <row r="153" spans="1:13">
      <c r="A153" s="8"/>
      <c r="B153" s="8"/>
      <c r="C153" s="8"/>
      <c r="D153" s="15"/>
      <c r="E153" s="15" t="s">
        <v>70</v>
      </c>
      <c r="F153" s="15" t="s">
        <v>70</v>
      </c>
      <c r="G153" s="15" t="s">
        <v>70</v>
      </c>
      <c r="H153" s="15" t="s">
        <v>70</v>
      </c>
      <c r="I153" s="15" t="s">
        <v>70</v>
      </c>
      <c r="J153" s="15" t="s">
        <v>70</v>
      </c>
      <c r="K153" s="15"/>
      <c r="L153" s="8"/>
      <c r="M153" s="8"/>
    </row>
    <row r="154" spans="1:13">
      <c r="A154" s="8"/>
      <c r="B154" s="8"/>
      <c r="C154" s="8"/>
      <c r="D154" s="15"/>
      <c r="E154" s="15"/>
      <c r="F154" s="15"/>
      <c r="G154" s="15"/>
      <c r="H154" s="15"/>
      <c r="I154" s="15"/>
      <c r="J154" s="15"/>
      <c r="K154" s="15"/>
      <c r="L154" s="8"/>
      <c r="M154" s="8"/>
    </row>
    <row r="155" spans="1:13">
      <c r="A155" s="8">
        <v>45</v>
      </c>
      <c r="B155" s="8" t="s">
        <v>39</v>
      </c>
      <c r="C155" s="8" t="s">
        <v>12</v>
      </c>
      <c r="D155" s="15">
        <v>5250.48</v>
      </c>
      <c r="E155" s="15">
        <v>155.03</v>
      </c>
      <c r="F155" s="15">
        <v>174.26</v>
      </c>
      <c r="G155" s="15">
        <v>0</v>
      </c>
      <c r="H155" s="15"/>
      <c r="I155" s="15"/>
      <c r="J155" s="15"/>
      <c r="K155" s="15">
        <f>SUM(D155:J155)</f>
        <v>5579.7699999999995</v>
      </c>
      <c r="L155" s="8"/>
      <c r="M155" s="8"/>
    </row>
    <row r="156" spans="1:13">
      <c r="A156" s="8"/>
      <c r="B156" s="8"/>
      <c r="C156" s="8"/>
      <c r="D156" s="15"/>
      <c r="E156" s="15"/>
      <c r="F156" s="15"/>
      <c r="G156" s="15"/>
      <c r="H156" s="15"/>
      <c r="I156" s="15"/>
      <c r="J156" s="15"/>
      <c r="K156" s="15"/>
      <c r="L156" s="8"/>
      <c r="M156" s="8"/>
    </row>
    <row r="157" spans="1:13">
      <c r="A157" s="8"/>
      <c r="B157" s="8"/>
      <c r="C157" s="8" t="s">
        <v>10</v>
      </c>
      <c r="D157" s="15">
        <f t="shared" ref="D157:J157" si="22">SUM(D155:D156)</f>
        <v>5250.48</v>
      </c>
      <c r="E157" s="15">
        <f t="shared" si="22"/>
        <v>155.03</v>
      </c>
      <c r="F157" s="15">
        <f t="shared" si="22"/>
        <v>174.26</v>
      </c>
      <c r="G157" s="15">
        <f t="shared" si="22"/>
        <v>0</v>
      </c>
      <c r="H157" s="15">
        <f t="shared" si="22"/>
        <v>0</v>
      </c>
      <c r="I157" s="15">
        <f t="shared" si="22"/>
        <v>0</v>
      </c>
      <c r="J157" s="15">
        <f t="shared" si="22"/>
        <v>0</v>
      </c>
      <c r="K157" s="15">
        <f>SUM(D157:J157)</f>
        <v>5579.7699999999995</v>
      </c>
      <c r="L157" s="8"/>
      <c r="M157" s="8"/>
    </row>
    <row r="158" spans="1:13">
      <c r="A158" s="8"/>
      <c r="B158" s="8"/>
      <c r="C158" s="8"/>
      <c r="D158" s="15"/>
      <c r="E158" s="15"/>
      <c r="F158" s="15"/>
      <c r="G158" s="15"/>
      <c r="H158" s="15"/>
      <c r="I158" s="15"/>
      <c r="J158" s="15"/>
      <c r="K158" s="15"/>
      <c r="L158" s="8"/>
      <c r="M158" s="8"/>
    </row>
    <row r="159" spans="1:13">
      <c r="A159" s="8"/>
      <c r="B159" s="8"/>
      <c r="C159" s="8"/>
      <c r="D159" s="15"/>
      <c r="E159" s="15"/>
      <c r="F159" s="15"/>
      <c r="G159" s="15"/>
      <c r="H159" s="15"/>
      <c r="I159" s="15"/>
      <c r="J159" s="15"/>
      <c r="K159" s="15"/>
      <c r="L159" s="8"/>
      <c r="M159" s="8"/>
    </row>
    <row r="160" spans="1:13">
      <c r="A160" s="8">
        <v>46</v>
      </c>
      <c r="B160" s="8" t="s">
        <v>40</v>
      </c>
      <c r="C160" s="8" t="s">
        <v>12</v>
      </c>
      <c r="D160" s="15">
        <v>4890.54</v>
      </c>
      <c r="E160" s="15">
        <v>183.51</v>
      </c>
      <c r="F160" s="15">
        <v>151.11000000000001</v>
      </c>
      <c r="G160" s="15">
        <v>0</v>
      </c>
      <c r="H160" s="15"/>
      <c r="I160" s="15"/>
      <c r="J160" s="15"/>
      <c r="K160" s="15">
        <f>SUM(D160:J160)</f>
        <v>5225.16</v>
      </c>
      <c r="L160" s="8"/>
      <c r="M160" s="8"/>
    </row>
    <row r="161" spans="1:13">
      <c r="A161" s="8"/>
      <c r="B161" s="8"/>
      <c r="C161" s="8"/>
      <c r="D161" s="15"/>
      <c r="E161" s="15"/>
      <c r="F161" s="15"/>
      <c r="G161" s="15"/>
      <c r="H161" s="15"/>
      <c r="I161" s="15"/>
      <c r="J161" s="15"/>
      <c r="K161" s="15"/>
      <c r="L161" s="8"/>
      <c r="M161" s="8"/>
    </row>
    <row r="162" spans="1:13">
      <c r="A162" s="8"/>
      <c r="B162" s="8"/>
      <c r="C162" s="8" t="s">
        <v>10</v>
      </c>
      <c r="D162" s="15">
        <f t="shared" ref="D162:J162" si="23">SUM(D160:D161)</f>
        <v>4890.54</v>
      </c>
      <c r="E162" s="15">
        <f t="shared" si="23"/>
        <v>183.51</v>
      </c>
      <c r="F162" s="15">
        <f t="shared" si="23"/>
        <v>151.11000000000001</v>
      </c>
      <c r="G162" s="15">
        <f t="shared" si="23"/>
        <v>0</v>
      </c>
      <c r="H162" s="15">
        <f t="shared" si="23"/>
        <v>0</v>
      </c>
      <c r="I162" s="15">
        <f t="shared" si="23"/>
        <v>0</v>
      </c>
      <c r="J162" s="15">
        <f t="shared" si="23"/>
        <v>0</v>
      </c>
      <c r="K162" s="15">
        <f>SUM(D162:J162)</f>
        <v>5225.16</v>
      </c>
      <c r="L162" s="8"/>
      <c r="M162" s="8"/>
    </row>
    <row r="163" spans="1:13">
      <c r="A163" s="8"/>
      <c r="B163" s="8"/>
      <c r="C163" s="8"/>
      <c r="D163" s="15"/>
      <c r="E163" s="15"/>
      <c r="F163" s="15"/>
      <c r="G163" s="15"/>
      <c r="H163" s="15"/>
      <c r="I163" s="15"/>
      <c r="J163" s="15"/>
      <c r="K163" s="15"/>
      <c r="L163" s="8"/>
      <c r="M163" s="8"/>
    </row>
    <row r="164" spans="1:13">
      <c r="A164" s="8"/>
      <c r="B164" s="8"/>
      <c r="C164" s="8"/>
      <c r="D164" s="15"/>
      <c r="E164" s="15"/>
      <c r="F164" s="15"/>
      <c r="G164" s="15"/>
      <c r="H164" s="15"/>
      <c r="I164" s="15"/>
      <c r="J164" s="15"/>
      <c r="K164" s="15"/>
      <c r="L164" s="8"/>
      <c r="M164" s="8"/>
    </row>
    <row r="165" spans="1:13">
      <c r="A165" s="8">
        <v>47</v>
      </c>
      <c r="B165" s="8" t="s">
        <v>41</v>
      </c>
      <c r="C165" s="8" t="s">
        <v>12</v>
      </c>
      <c r="D165" s="15">
        <v>6048.07</v>
      </c>
      <c r="E165" s="15">
        <v>1225.92</v>
      </c>
      <c r="F165" s="15">
        <v>511.51</v>
      </c>
      <c r="G165" s="15">
        <v>159.88</v>
      </c>
      <c r="H165" s="15"/>
      <c r="I165" s="15"/>
      <c r="J165" s="15"/>
      <c r="K165" s="15">
        <f>SUM(D165:J165)</f>
        <v>7945.38</v>
      </c>
      <c r="L165" s="8"/>
      <c r="M165" s="8"/>
    </row>
    <row r="166" spans="1:13">
      <c r="A166" s="8"/>
      <c r="B166" s="8"/>
      <c r="C166" s="8"/>
      <c r="D166" s="15"/>
      <c r="E166" s="15"/>
      <c r="F166" s="15"/>
      <c r="G166" s="15"/>
      <c r="H166" s="15"/>
      <c r="I166" s="15"/>
      <c r="J166" s="15"/>
      <c r="K166" s="15"/>
      <c r="L166" s="8"/>
      <c r="M166" s="8"/>
    </row>
    <row r="167" spans="1:13">
      <c r="A167" s="8"/>
      <c r="B167" s="8"/>
      <c r="C167" s="8"/>
      <c r="D167" s="15"/>
      <c r="E167" s="15"/>
      <c r="F167" s="15"/>
      <c r="G167" s="15"/>
      <c r="H167" s="15"/>
      <c r="I167" s="15"/>
      <c r="J167" s="15"/>
      <c r="K167" s="15"/>
      <c r="L167" s="8"/>
      <c r="M167" s="8"/>
    </row>
    <row r="168" spans="1:13">
      <c r="A168" s="8"/>
      <c r="B168" s="8"/>
      <c r="C168" s="8" t="s">
        <v>10</v>
      </c>
      <c r="D168" s="15">
        <f t="shared" ref="D168:J168" si="24">SUM(D165:D166)</f>
        <v>6048.07</v>
      </c>
      <c r="E168" s="15">
        <f t="shared" si="24"/>
        <v>1225.92</v>
      </c>
      <c r="F168" s="15">
        <f t="shared" si="24"/>
        <v>511.51</v>
      </c>
      <c r="G168" s="15">
        <f t="shared" si="24"/>
        <v>159.88</v>
      </c>
      <c r="H168" s="15">
        <f t="shared" si="24"/>
        <v>0</v>
      </c>
      <c r="I168" s="15">
        <f t="shared" si="24"/>
        <v>0</v>
      </c>
      <c r="J168" s="15">
        <f t="shared" si="24"/>
        <v>0</v>
      </c>
      <c r="K168" s="15">
        <f>SUM(D168:J168)</f>
        <v>7945.38</v>
      </c>
      <c r="L168" s="8"/>
      <c r="M168" s="8"/>
    </row>
    <row r="169" spans="1:13">
      <c r="A169" s="8"/>
      <c r="B169" s="8"/>
      <c r="C169" s="8"/>
      <c r="D169" s="15"/>
      <c r="E169" s="15"/>
      <c r="F169" s="15"/>
      <c r="G169" s="15"/>
      <c r="H169" s="15"/>
      <c r="I169" s="15"/>
      <c r="J169" s="15"/>
      <c r="K169" s="15"/>
      <c r="L169" s="8"/>
      <c r="M169" s="8"/>
    </row>
    <row r="170" spans="1:13">
      <c r="A170" s="8"/>
      <c r="B170" s="8"/>
      <c r="C170" s="8"/>
      <c r="D170" s="15"/>
      <c r="E170" s="15"/>
      <c r="F170" s="15"/>
      <c r="G170" s="15"/>
      <c r="H170" s="15"/>
      <c r="I170" s="15"/>
      <c r="J170" s="15"/>
      <c r="K170" s="15"/>
      <c r="L170" s="8"/>
      <c r="M170" s="8"/>
    </row>
    <row r="171" spans="1:13">
      <c r="A171" s="8">
        <v>48</v>
      </c>
      <c r="B171" s="8" t="s">
        <v>42</v>
      </c>
      <c r="C171" s="8" t="s">
        <v>12</v>
      </c>
      <c r="D171" s="15">
        <v>8966.34</v>
      </c>
      <c r="E171" s="15">
        <v>446.78</v>
      </c>
      <c r="F171" s="15">
        <v>454.69</v>
      </c>
      <c r="G171" s="15">
        <v>191.66</v>
      </c>
      <c r="H171" s="15">
        <v>66.77</v>
      </c>
      <c r="I171" s="15">
        <v>0</v>
      </c>
      <c r="J171" s="15"/>
      <c r="K171" s="15">
        <f>SUM(D171:J171)</f>
        <v>10126.240000000002</v>
      </c>
      <c r="L171" s="8"/>
      <c r="M171" s="8"/>
    </row>
    <row r="172" spans="1:13">
      <c r="A172" s="8"/>
      <c r="B172" s="8"/>
      <c r="C172" s="8"/>
      <c r="D172" s="15"/>
      <c r="E172" s="15"/>
      <c r="F172" s="15"/>
      <c r="G172" s="15"/>
      <c r="H172" s="15"/>
      <c r="I172" s="15"/>
      <c r="J172" s="15"/>
      <c r="K172" s="15"/>
      <c r="L172" s="8"/>
      <c r="M172" s="8"/>
    </row>
    <row r="173" spans="1:13">
      <c r="A173" s="8"/>
      <c r="B173" s="8"/>
      <c r="C173" s="8" t="s">
        <v>10</v>
      </c>
      <c r="D173" s="15">
        <f t="shared" ref="D173:J173" si="25">SUM(D171:D172)</f>
        <v>8966.34</v>
      </c>
      <c r="E173" s="15">
        <f t="shared" si="25"/>
        <v>446.78</v>
      </c>
      <c r="F173" s="15">
        <f t="shared" si="25"/>
        <v>454.69</v>
      </c>
      <c r="G173" s="15">
        <f t="shared" si="25"/>
        <v>191.66</v>
      </c>
      <c r="H173" s="15">
        <f t="shared" si="25"/>
        <v>66.77</v>
      </c>
      <c r="I173" s="15">
        <f t="shared" si="25"/>
        <v>0</v>
      </c>
      <c r="J173" s="15">
        <f t="shared" si="25"/>
        <v>0</v>
      </c>
      <c r="K173" s="15">
        <f>SUM(D173:J173)</f>
        <v>10126.240000000002</v>
      </c>
      <c r="L173" s="8"/>
      <c r="M173" s="8"/>
    </row>
    <row r="174" spans="1:13">
      <c r="A174" s="8"/>
      <c r="B174" s="8"/>
      <c r="C174" s="8"/>
      <c r="D174" s="15"/>
      <c r="E174" s="15"/>
      <c r="F174" s="15"/>
      <c r="G174" s="15"/>
      <c r="H174" s="15"/>
      <c r="I174" s="15"/>
      <c r="J174" s="15"/>
      <c r="K174" s="15"/>
      <c r="L174" s="8"/>
      <c r="M174" s="8"/>
    </row>
    <row r="175" spans="1:13">
      <c r="A175" s="8"/>
      <c r="B175" s="8"/>
      <c r="C175" s="8"/>
      <c r="D175" s="15"/>
      <c r="E175" s="15"/>
      <c r="F175" s="15"/>
      <c r="G175" s="15"/>
      <c r="H175" s="15"/>
      <c r="I175" s="15"/>
      <c r="J175" s="15"/>
      <c r="K175" s="15"/>
      <c r="L175" s="8"/>
      <c r="M175" s="8"/>
    </row>
    <row r="176" spans="1:13">
      <c r="A176" s="8">
        <v>49</v>
      </c>
      <c r="B176" s="8" t="s">
        <v>43</v>
      </c>
      <c r="C176" s="8" t="s">
        <v>12</v>
      </c>
      <c r="D176" s="15">
        <v>11577.29</v>
      </c>
      <c r="E176" s="15">
        <v>552.85</v>
      </c>
      <c r="F176" s="15">
        <v>266.73</v>
      </c>
      <c r="G176" s="15">
        <v>268.02999999999997</v>
      </c>
      <c r="H176" s="15">
        <v>0.85</v>
      </c>
      <c r="I176" s="15"/>
      <c r="J176" s="15"/>
      <c r="K176" s="15">
        <f>SUM(D176:J176)</f>
        <v>12665.750000000002</v>
      </c>
      <c r="L176" s="8"/>
      <c r="M176" s="8"/>
    </row>
    <row r="177" spans="1:13">
      <c r="A177" s="8"/>
      <c r="B177" s="8"/>
      <c r="C177" s="8"/>
      <c r="D177" s="15"/>
      <c r="E177" s="15"/>
      <c r="F177" s="15"/>
      <c r="G177" s="15"/>
      <c r="H177" s="15"/>
      <c r="I177" s="15"/>
      <c r="J177" s="15"/>
      <c r="K177" s="15"/>
      <c r="L177" s="8"/>
      <c r="M177" s="8"/>
    </row>
    <row r="178" spans="1:13">
      <c r="A178" s="8"/>
      <c r="B178" s="8"/>
      <c r="C178" s="8" t="s">
        <v>10</v>
      </c>
      <c r="D178" s="15">
        <f t="shared" ref="D178:J178" si="26">SUM(D176:D177)</f>
        <v>11577.29</v>
      </c>
      <c r="E178" s="15">
        <f t="shared" si="26"/>
        <v>552.85</v>
      </c>
      <c r="F178" s="15">
        <f t="shared" si="26"/>
        <v>266.73</v>
      </c>
      <c r="G178" s="15">
        <f t="shared" si="26"/>
        <v>268.02999999999997</v>
      </c>
      <c r="H178" s="15">
        <f t="shared" si="26"/>
        <v>0.85</v>
      </c>
      <c r="I178" s="15">
        <f t="shared" si="26"/>
        <v>0</v>
      </c>
      <c r="J178" s="15">
        <f t="shared" si="26"/>
        <v>0</v>
      </c>
      <c r="K178" s="15">
        <f>SUM(D178:J178)</f>
        <v>12665.750000000002</v>
      </c>
      <c r="L178" s="8"/>
      <c r="M178" s="8"/>
    </row>
    <row r="179" spans="1:13">
      <c r="A179" s="8"/>
      <c r="B179" s="8"/>
      <c r="C179" s="8"/>
      <c r="D179" s="15"/>
      <c r="E179" s="15"/>
      <c r="F179" s="15"/>
      <c r="G179" s="15"/>
      <c r="H179" s="15"/>
      <c r="I179" s="15"/>
      <c r="J179" s="15"/>
      <c r="K179" s="15"/>
      <c r="L179" s="8"/>
      <c r="M179" s="8"/>
    </row>
    <row r="180" spans="1:13">
      <c r="A180" s="8"/>
      <c r="B180" s="8"/>
      <c r="C180" s="8"/>
      <c r="D180" s="15"/>
      <c r="E180" s="15"/>
      <c r="F180" s="15"/>
      <c r="G180" s="15"/>
      <c r="H180" s="15"/>
      <c r="I180" s="15"/>
      <c r="J180" s="15"/>
      <c r="K180" s="15"/>
      <c r="L180" s="8"/>
      <c r="M180" s="8"/>
    </row>
    <row r="181" spans="1:13">
      <c r="A181" s="8">
        <v>50</v>
      </c>
      <c r="B181" s="8" t="s">
        <v>44</v>
      </c>
      <c r="C181" s="8" t="s">
        <v>12</v>
      </c>
      <c r="D181" s="15">
        <v>3381.55</v>
      </c>
      <c r="E181" s="15">
        <v>0.02</v>
      </c>
      <c r="F181" s="15">
        <v>0.02</v>
      </c>
      <c r="G181" s="15">
        <v>-7.0000000000000007E-2</v>
      </c>
      <c r="H181" s="15"/>
      <c r="I181" s="15"/>
      <c r="J181" s="15"/>
      <c r="K181" s="15">
        <f>SUM(D181:J181)</f>
        <v>3381.52</v>
      </c>
      <c r="L181" s="8"/>
      <c r="M181" s="8"/>
    </row>
    <row r="182" spans="1:13">
      <c r="A182" s="8"/>
      <c r="B182" s="8"/>
      <c r="C182" s="8" t="s">
        <v>13</v>
      </c>
      <c r="D182" s="15">
        <v>84.09</v>
      </c>
      <c r="E182" s="15">
        <v>-0.02</v>
      </c>
      <c r="F182" s="15">
        <v>-0.02</v>
      </c>
      <c r="G182" s="15">
        <v>7.0000000000000007E-2</v>
      </c>
      <c r="H182" s="15"/>
      <c r="I182" s="15"/>
      <c r="J182" s="15"/>
      <c r="K182" s="15">
        <f>SUM(D182:J182)</f>
        <v>84.12</v>
      </c>
      <c r="L182" s="8"/>
      <c r="M182" s="8"/>
    </row>
    <row r="183" spans="1:13">
      <c r="A183" s="8"/>
      <c r="B183" s="8"/>
      <c r="C183" s="8"/>
      <c r="D183" s="15"/>
      <c r="E183" s="15"/>
      <c r="F183" s="15"/>
      <c r="G183" s="15"/>
      <c r="H183" s="15"/>
      <c r="I183" s="15"/>
      <c r="J183" s="15"/>
      <c r="K183" s="15"/>
      <c r="L183" s="8"/>
      <c r="M183" s="8"/>
    </row>
    <row r="184" spans="1:13">
      <c r="A184" s="8"/>
      <c r="B184" s="8"/>
      <c r="C184" s="8" t="s">
        <v>10</v>
      </c>
      <c r="D184" s="15">
        <f t="shared" ref="D184:J184" si="27">SUM(D181:D182)</f>
        <v>3465.6400000000003</v>
      </c>
      <c r="E184" s="15">
        <f t="shared" si="27"/>
        <v>0</v>
      </c>
      <c r="F184" s="15">
        <f t="shared" si="27"/>
        <v>0</v>
      </c>
      <c r="G184" s="15">
        <f t="shared" si="27"/>
        <v>0</v>
      </c>
      <c r="H184" s="15">
        <f t="shared" si="27"/>
        <v>0</v>
      </c>
      <c r="I184" s="15">
        <f t="shared" si="27"/>
        <v>0</v>
      </c>
      <c r="J184" s="15">
        <f t="shared" si="27"/>
        <v>0</v>
      </c>
      <c r="K184" s="15">
        <f>SUM(D184:J184)</f>
        <v>3465.6400000000003</v>
      </c>
      <c r="L184" s="8"/>
      <c r="M184" s="8"/>
    </row>
    <row r="185" spans="1:13">
      <c r="A185" s="8"/>
      <c r="B185" s="8"/>
      <c r="C185" s="8"/>
      <c r="D185" s="15"/>
      <c r="E185" s="15"/>
      <c r="F185" s="15"/>
      <c r="G185" s="15"/>
      <c r="H185" s="15"/>
      <c r="I185" s="15"/>
      <c r="J185" s="15"/>
      <c r="K185" s="15"/>
      <c r="L185" s="8"/>
      <c r="M185" s="8"/>
    </row>
    <row r="186" spans="1:13">
      <c r="A186" s="8"/>
      <c r="B186" s="8"/>
      <c r="C186" s="8"/>
      <c r="D186" s="15"/>
      <c r="E186" s="15"/>
      <c r="F186" s="15"/>
      <c r="G186" s="15"/>
      <c r="H186" s="15"/>
      <c r="I186" s="15"/>
      <c r="J186" s="15"/>
      <c r="K186" s="15"/>
      <c r="L186" s="8"/>
      <c r="M186" s="8"/>
    </row>
    <row r="187" spans="1:13">
      <c r="A187" s="8">
        <v>51</v>
      </c>
      <c r="B187" s="8" t="s">
        <v>45</v>
      </c>
      <c r="C187" s="8" t="s">
        <v>12</v>
      </c>
      <c r="D187" s="15">
        <v>13386.2</v>
      </c>
      <c r="E187" s="15">
        <v>878.46</v>
      </c>
      <c r="F187" s="15">
        <v>564.92999999999995</v>
      </c>
      <c r="G187" s="15">
        <v>242.97</v>
      </c>
      <c r="H187" s="15">
        <v>237.19</v>
      </c>
      <c r="I187" s="15">
        <v>0.15</v>
      </c>
      <c r="J187" s="15"/>
      <c r="K187" s="15">
        <f>SUM(D187:J187)</f>
        <v>15309.9</v>
      </c>
      <c r="L187" s="8"/>
      <c r="M187" s="8"/>
    </row>
    <row r="188" spans="1:13">
      <c r="A188" s="8"/>
      <c r="B188" s="8"/>
      <c r="C188" s="8" t="s">
        <v>13</v>
      </c>
      <c r="D188" s="15"/>
      <c r="E188" s="15"/>
      <c r="F188" s="15"/>
      <c r="G188" s="15">
        <v>15.25</v>
      </c>
      <c r="H188" s="15">
        <v>10.53</v>
      </c>
      <c r="I188" s="15">
        <v>-0.14000000000000001</v>
      </c>
      <c r="J188" s="15"/>
      <c r="K188" s="15">
        <f>SUM(D188:J188)</f>
        <v>25.64</v>
      </c>
      <c r="L188" s="8"/>
      <c r="M188" s="8"/>
    </row>
    <row r="189" spans="1:13">
      <c r="A189" s="8"/>
      <c r="B189" s="8"/>
      <c r="C189" s="8" t="s">
        <v>46</v>
      </c>
      <c r="D189" s="15">
        <v>272.29000000000002</v>
      </c>
      <c r="E189" s="15">
        <v>18.48</v>
      </c>
      <c r="F189" s="15">
        <v>11.81</v>
      </c>
      <c r="G189" s="15">
        <v>4.9400000000000004</v>
      </c>
      <c r="H189" s="15">
        <v>3.85</v>
      </c>
      <c r="I189" s="15">
        <v>-0.01</v>
      </c>
      <c r="J189" s="15"/>
      <c r="K189" s="15">
        <f>SUM(D189:J189)</f>
        <v>311.36000000000007</v>
      </c>
      <c r="L189" s="8"/>
      <c r="M189" s="8"/>
    </row>
    <row r="190" spans="1:13">
      <c r="A190" s="8"/>
      <c r="B190" s="8"/>
      <c r="C190" s="8"/>
      <c r="D190" s="15"/>
      <c r="E190" s="15"/>
      <c r="F190" s="15"/>
      <c r="G190" s="15"/>
      <c r="H190" s="15"/>
      <c r="I190" s="15"/>
      <c r="J190" s="15"/>
      <c r="K190" s="15"/>
      <c r="L190" s="8"/>
      <c r="M190" s="8"/>
    </row>
    <row r="191" spans="1:13">
      <c r="A191" s="8"/>
      <c r="B191" s="8"/>
      <c r="C191" s="8" t="s">
        <v>10</v>
      </c>
      <c r="D191" s="15">
        <f t="shared" ref="D191:J191" si="28">SUM(D187:D189)</f>
        <v>13658.490000000002</v>
      </c>
      <c r="E191" s="15">
        <f t="shared" si="28"/>
        <v>896.94</v>
      </c>
      <c r="F191" s="15">
        <f t="shared" si="28"/>
        <v>576.7399999999999</v>
      </c>
      <c r="G191" s="15">
        <f t="shared" si="28"/>
        <v>263.16000000000003</v>
      </c>
      <c r="H191" s="15">
        <f t="shared" si="28"/>
        <v>251.57</v>
      </c>
      <c r="I191" s="15">
        <f t="shared" si="28"/>
        <v>-1.9081958235744878E-17</v>
      </c>
      <c r="J191" s="15">
        <f t="shared" si="28"/>
        <v>0</v>
      </c>
      <c r="K191" s="15">
        <f>SUM(D191:J191)</f>
        <v>15646.900000000001</v>
      </c>
      <c r="L191" s="8"/>
      <c r="M191" s="8"/>
    </row>
    <row r="192" spans="1:13">
      <c r="A192" s="8"/>
      <c r="B192" s="8"/>
      <c r="C192" s="8"/>
      <c r="D192" s="15"/>
      <c r="E192" s="15"/>
      <c r="F192" s="15"/>
      <c r="G192" s="15"/>
      <c r="H192" s="15"/>
      <c r="I192" s="15"/>
      <c r="J192" s="15"/>
      <c r="K192" s="15"/>
      <c r="L192" s="8"/>
      <c r="M192" s="8"/>
    </row>
    <row r="193" spans="1:13">
      <c r="A193" s="8"/>
      <c r="B193" s="8"/>
      <c r="C193" s="8"/>
      <c r="D193" s="15"/>
      <c r="E193" s="15"/>
      <c r="F193" s="15"/>
      <c r="G193" s="15"/>
      <c r="H193" s="15"/>
      <c r="I193" s="15"/>
      <c r="J193" s="15"/>
      <c r="K193" s="15"/>
      <c r="L193" s="8"/>
      <c r="M193" s="8"/>
    </row>
    <row r="194" spans="1:13">
      <c r="A194" s="8">
        <v>52</v>
      </c>
      <c r="B194" s="8" t="s">
        <v>47</v>
      </c>
      <c r="C194" s="8" t="s">
        <v>12</v>
      </c>
      <c r="D194" s="15">
        <v>9035.1</v>
      </c>
      <c r="E194" s="15">
        <v>1.65</v>
      </c>
      <c r="F194" s="15">
        <v>0</v>
      </c>
      <c r="G194" s="15">
        <v>0.03</v>
      </c>
      <c r="H194" s="15"/>
      <c r="I194" s="15"/>
      <c r="J194" s="15"/>
      <c r="K194" s="15">
        <f>SUM(D194:J194)</f>
        <v>9036.7800000000007</v>
      </c>
      <c r="L194" s="8"/>
      <c r="M194" s="8"/>
    </row>
    <row r="195" spans="1:13">
      <c r="A195" s="8"/>
      <c r="B195" s="8"/>
      <c r="C195" s="8" t="s">
        <v>13</v>
      </c>
      <c r="D195" s="15"/>
      <c r="E195" s="15"/>
      <c r="F195" s="15"/>
      <c r="G195" s="15">
        <v>-0.03</v>
      </c>
      <c r="H195" s="15"/>
      <c r="I195" s="15"/>
      <c r="J195" s="15"/>
      <c r="K195" s="15">
        <f>SUM(D195:J195)</f>
        <v>-0.03</v>
      </c>
      <c r="L195" s="8"/>
      <c r="M195" s="8"/>
    </row>
    <row r="196" spans="1:13">
      <c r="A196" s="8"/>
      <c r="B196" s="8"/>
      <c r="C196" s="8"/>
      <c r="D196" s="15"/>
      <c r="E196" s="15"/>
      <c r="F196" s="15"/>
      <c r="G196" s="15"/>
      <c r="H196" s="15"/>
      <c r="I196" s="15"/>
      <c r="J196" s="15"/>
      <c r="K196" s="15"/>
      <c r="L196" s="8"/>
      <c r="M196" s="8"/>
    </row>
    <row r="197" spans="1:13">
      <c r="A197" s="8"/>
      <c r="B197" s="8"/>
      <c r="C197" s="8" t="s">
        <v>10</v>
      </c>
      <c r="D197" s="15">
        <f t="shared" ref="D197:J197" si="29">SUM(D194:D195)</f>
        <v>9035.1</v>
      </c>
      <c r="E197" s="15">
        <f t="shared" si="29"/>
        <v>1.65</v>
      </c>
      <c r="F197" s="15">
        <f t="shared" si="29"/>
        <v>0</v>
      </c>
      <c r="G197" s="15">
        <f t="shared" si="29"/>
        <v>0</v>
      </c>
      <c r="H197" s="15">
        <f t="shared" si="29"/>
        <v>0</v>
      </c>
      <c r="I197" s="15">
        <f t="shared" si="29"/>
        <v>0</v>
      </c>
      <c r="J197" s="15">
        <f t="shared" si="29"/>
        <v>0</v>
      </c>
      <c r="K197" s="15">
        <f>SUM(D197:J197)</f>
        <v>9036.75</v>
      </c>
      <c r="L197" s="8"/>
      <c r="M197" s="8"/>
    </row>
    <row r="198" spans="1:13">
      <c r="A198" s="8"/>
      <c r="B198" s="8"/>
      <c r="C198" s="8"/>
      <c r="D198" s="15"/>
      <c r="E198" s="15"/>
      <c r="F198" s="15"/>
      <c r="G198" s="15"/>
      <c r="H198" s="15"/>
      <c r="I198" s="15"/>
      <c r="J198" s="15"/>
      <c r="K198" s="15"/>
      <c r="L198" s="8"/>
      <c r="M198" s="8"/>
    </row>
    <row r="199" spans="1:13">
      <c r="A199" s="8"/>
      <c r="B199" s="8"/>
      <c r="C199" s="8"/>
      <c r="D199" s="15"/>
      <c r="E199" s="15"/>
      <c r="F199" s="15"/>
      <c r="G199" s="15"/>
      <c r="H199" s="15"/>
      <c r="I199" s="15"/>
      <c r="J199" s="15"/>
      <c r="K199" s="15"/>
      <c r="L199" s="8"/>
      <c r="M199" s="8"/>
    </row>
    <row r="200" spans="1:13">
      <c r="A200" s="8">
        <v>53</v>
      </c>
      <c r="B200" s="8" t="s">
        <v>48</v>
      </c>
      <c r="C200" s="8" t="s">
        <v>12</v>
      </c>
      <c r="D200" s="15">
        <v>12956.36</v>
      </c>
      <c r="E200" s="15">
        <v>258.01</v>
      </c>
      <c r="F200" s="15">
        <v>230.01</v>
      </c>
      <c r="G200" s="15">
        <v>185.77</v>
      </c>
      <c r="H200" s="15">
        <v>137.97</v>
      </c>
      <c r="I200" s="15">
        <v>70.69</v>
      </c>
      <c r="J200" s="15">
        <v>70.540000000000006</v>
      </c>
      <c r="K200" s="15">
        <f>SUM(D200:J200)</f>
        <v>13909.350000000002</v>
      </c>
      <c r="L200" s="8"/>
      <c r="M200" s="8"/>
    </row>
    <row r="201" spans="1:13">
      <c r="A201" s="8"/>
      <c r="B201" s="8"/>
      <c r="C201" s="8" t="s">
        <v>35</v>
      </c>
      <c r="D201" s="15">
        <v>565.22</v>
      </c>
      <c r="E201" s="15">
        <v>11.08</v>
      </c>
      <c r="F201" s="15">
        <v>10.3</v>
      </c>
      <c r="G201" s="15">
        <v>8.18</v>
      </c>
      <c r="H201" s="15">
        <v>6.08</v>
      </c>
      <c r="I201" s="15">
        <v>2.84</v>
      </c>
      <c r="J201" s="15">
        <v>2.85</v>
      </c>
      <c r="K201" s="15">
        <f>SUM(D201:J201)</f>
        <v>606.55000000000007</v>
      </c>
      <c r="L201" s="8"/>
      <c r="M201" s="8"/>
    </row>
    <row r="202" spans="1:13">
      <c r="A202" s="8"/>
      <c r="B202" s="8"/>
      <c r="C202" s="8"/>
      <c r="D202" s="15"/>
      <c r="E202" s="15"/>
      <c r="F202" s="15"/>
      <c r="G202" s="15"/>
      <c r="H202" s="15"/>
      <c r="I202" s="15"/>
      <c r="J202" s="15"/>
      <c r="K202" s="15"/>
      <c r="L202" s="8"/>
      <c r="M202" s="8"/>
    </row>
    <row r="203" spans="1:13">
      <c r="A203" s="8"/>
      <c r="B203" s="8"/>
      <c r="C203" s="8" t="s">
        <v>10</v>
      </c>
      <c r="D203" s="15">
        <f t="shared" ref="D203:J203" si="30">SUM(D200:D201)</f>
        <v>13521.58</v>
      </c>
      <c r="E203" s="15">
        <f t="shared" si="30"/>
        <v>269.08999999999997</v>
      </c>
      <c r="F203" s="15">
        <f t="shared" si="30"/>
        <v>240.31</v>
      </c>
      <c r="G203" s="15">
        <f t="shared" si="30"/>
        <v>193.95000000000002</v>
      </c>
      <c r="H203" s="15">
        <f t="shared" si="30"/>
        <v>144.05000000000001</v>
      </c>
      <c r="I203" s="15">
        <f t="shared" si="30"/>
        <v>73.53</v>
      </c>
      <c r="J203" s="15">
        <f t="shared" si="30"/>
        <v>73.39</v>
      </c>
      <c r="K203" s="15">
        <f>SUM(D203:J203)</f>
        <v>14515.9</v>
      </c>
      <c r="L203" s="8"/>
      <c r="M203" s="8"/>
    </row>
    <row r="204" spans="1:13">
      <c r="A204" s="8"/>
      <c r="B204" s="8"/>
      <c r="C204" s="8"/>
      <c r="D204" s="15"/>
      <c r="E204" s="15"/>
      <c r="F204" s="15"/>
      <c r="G204" s="15"/>
      <c r="H204" s="15"/>
      <c r="I204" s="15"/>
      <c r="J204" s="15"/>
      <c r="K204" s="15"/>
      <c r="L204" s="8"/>
      <c r="M204" s="8"/>
    </row>
    <row r="205" spans="1:13">
      <c r="A205" s="8"/>
      <c r="B205" s="8"/>
      <c r="C205" s="8"/>
      <c r="D205" s="15"/>
      <c r="E205" s="15"/>
      <c r="F205" s="15"/>
      <c r="G205" s="15"/>
      <c r="H205" s="15"/>
      <c r="I205" s="15"/>
      <c r="J205" s="15"/>
      <c r="K205" s="15"/>
      <c r="L205" s="8"/>
      <c r="M205" s="8"/>
    </row>
    <row r="206" spans="1:13">
      <c r="A206" s="8">
        <v>54</v>
      </c>
      <c r="B206" s="8" t="s">
        <v>49</v>
      </c>
      <c r="C206" s="8" t="s">
        <v>12</v>
      </c>
      <c r="D206" s="15">
        <v>8320.2099999999991</v>
      </c>
      <c r="E206" s="15">
        <v>54.39</v>
      </c>
      <c r="F206" s="15">
        <v>0</v>
      </c>
      <c r="G206" s="15">
        <v>0</v>
      </c>
      <c r="H206" s="15">
        <v>0</v>
      </c>
      <c r="I206" s="15"/>
      <c r="J206" s="15"/>
      <c r="K206" s="15">
        <f>SUM(D206:J206)</f>
        <v>8374.5999999999985</v>
      </c>
      <c r="L206" s="8"/>
      <c r="M206" s="8"/>
    </row>
    <row r="207" spans="1:13">
      <c r="A207" s="8"/>
      <c r="B207" s="8"/>
      <c r="C207" s="8"/>
      <c r="D207" s="15"/>
      <c r="E207" s="15"/>
      <c r="F207" s="15"/>
      <c r="G207" s="15"/>
      <c r="H207" s="15"/>
      <c r="I207" s="15"/>
      <c r="J207" s="15"/>
      <c r="K207" s="15"/>
      <c r="L207" s="8"/>
      <c r="M207" s="8"/>
    </row>
    <row r="208" spans="1:13">
      <c r="A208" s="8"/>
      <c r="B208" s="8"/>
      <c r="C208" s="8" t="s">
        <v>10</v>
      </c>
      <c r="D208" s="15">
        <f t="shared" ref="D208:J208" si="31">SUM(D206:D207)</f>
        <v>8320.2099999999991</v>
      </c>
      <c r="E208" s="15">
        <f t="shared" si="31"/>
        <v>54.39</v>
      </c>
      <c r="F208" s="15">
        <f t="shared" si="31"/>
        <v>0</v>
      </c>
      <c r="G208" s="15">
        <f t="shared" si="31"/>
        <v>0</v>
      </c>
      <c r="H208" s="15">
        <f t="shared" si="31"/>
        <v>0</v>
      </c>
      <c r="I208" s="15">
        <f t="shared" si="31"/>
        <v>0</v>
      </c>
      <c r="J208" s="15">
        <f t="shared" si="31"/>
        <v>0</v>
      </c>
      <c r="K208" s="15">
        <f>SUM(D208:J208)</f>
        <v>8374.5999999999985</v>
      </c>
      <c r="L208" s="8"/>
      <c r="M208" s="8"/>
    </row>
    <row r="209" spans="1:13">
      <c r="A209" s="8"/>
      <c r="B209" s="8"/>
      <c r="C209" s="8"/>
      <c r="D209" s="15"/>
      <c r="E209" s="15"/>
      <c r="F209" s="15"/>
      <c r="G209" s="15"/>
      <c r="H209" s="15"/>
      <c r="I209" s="15"/>
      <c r="J209" s="15"/>
      <c r="K209" s="15"/>
      <c r="L209" s="8"/>
      <c r="M209" s="8"/>
    </row>
    <row r="210" spans="1:13">
      <c r="A210" s="8"/>
      <c r="B210" s="8"/>
      <c r="C210" s="8"/>
      <c r="D210" s="15"/>
      <c r="E210" s="15"/>
      <c r="F210" s="15"/>
      <c r="G210" s="15"/>
      <c r="H210" s="15"/>
      <c r="I210" s="15"/>
      <c r="J210" s="15"/>
      <c r="K210" s="15"/>
      <c r="L210" s="8"/>
      <c r="M210" s="8"/>
    </row>
    <row r="211" spans="1:13">
      <c r="A211" s="8">
        <v>55</v>
      </c>
      <c r="B211" s="8" t="s">
        <v>50</v>
      </c>
      <c r="C211" s="8" t="s">
        <v>12</v>
      </c>
      <c r="D211" s="15">
        <v>11788.5</v>
      </c>
      <c r="E211" s="15">
        <v>595.88</v>
      </c>
      <c r="F211" s="15">
        <v>219.86</v>
      </c>
      <c r="G211" s="15">
        <v>2.71</v>
      </c>
      <c r="H211" s="15">
        <v>1.72</v>
      </c>
      <c r="I211" s="15"/>
      <c r="J211" s="15"/>
      <c r="K211" s="15">
        <f>SUM(D211:J211)</f>
        <v>12608.669999999998</v>
      </c>
      <c r="L211" s="8"/>
      <c r="M211" s="8"/>
    </row>
    <row r="212" spans="1:13">
      <c r="A212" s="8"/>
      <c r="B212" s="8"/>
      <c r="C212" s="8" t="s">
        <v>13</v>
      </c>
      <c r="D212" s="15">
        <v>451.82</v>
      </c>
      <c r="E212" s="15">
        <v>23.87</v>
      </c>
      <c r="F212" s="15">
        <v>8.6300000000000008</v>
      </c>
      <c r="G212" s="15">
        <v>0.14000000000000001</v>
      </c>
      <c r="H212" s="15">
        <v>0.03</v>
      </c>
      <c r="I212" s="15"/>
      <c r="J212" s="15"/>
      <c r="K212" s="15">
        <f>SUM(D212:J212)</f>
        <v>484.48999999999995</v>
      </c>
      <c r="L212" s="8"/>
      <c r="M212" s="8"/>
    </row>
    <row r="213" spans="1:13">
      <c r="A213" s="8"/>
      <c r="B213" s="8"/>
      <c r="C213" s="8"/>
      <c r="D213" s="15"/>
      <c r="E213" s="15"/>
      <c r="F213" s="15"/>
      <c r="G213" s="15"/>
      <c r="H213" s="15"/>
      <c r="I213" s="15"/>
      <c r="J213" s="15"/>
      <c r="K213" s="15"/>
      <c r="L213" s="8"/>
      <c r="M213" s="8"/>
    </row>
    <row r="214" spans="1:13">
      <c r="A214" s="8"/>
      <c r="B214" s="8"/>
      <c r="C214" s="8" t="s">
        <v>10</v>
      </c>
      <c r="D214" s="15">
        <f t="shared" ref="D214:J214" si="32">SUM(D211:D212)</f>
        <v>12240.32</v>
      </c>
      <c r="E214" s="15">
        <f t="shared" si="32"/>
        <v>619.75</v>
      </c>
      <c r="F214" s="15">
        <f t="shared" si="32"/>
        <v>228.49</v>
      </c>
      <c r="G214" s="15">
        <f t="shared" si="32"/>
        <v>2.85</v>
      </c>
      <c r="H214" s="15">
        <f t="shared" si="32"/>
        <v>1.75</v>
      </c>
      <c r="I214" s="15">
        <f t="shared" si="32"/>
        <v>0</v>
      </c>
      <c r="J214" s="15">
        <f t="shared" si="32"/>
        <v>0</v>
      </c>
      <c r="K214" s="15">
        <f>SUM(D214:J214)</f>
        <v>13093.16</v>
      </c>
      <c r="L214" s="8"/>
      <c r="M214" s="8"/>
    </row>
    <row r="215" spans="1:13">
      <c r="A215" s="8"/>
      <c r="B215" s="8"/>
      <c r="C215" s="8"/>
      <c r="D215" s="15"/>
      <c r="E215" s="15"/>
      <c r="F215" s="15"/>
      <c r="G215" s="15"/>
      <c r="H215" s="15"/>
      <c r="I215" s="15"/>
      <c r="J215" s="15"/>
      <c r="K215" s="15"/>
      <c r="L215" s="8"/>
      <c r="M215" s="8"/>
    </row>
    <row r="216" spans="1:13">
      <c r="A216" s="8"/>
      <c r="B216" s="8"/>
      <c r="C216" s="8"/>
      <c r="D216" s="15"/>
      <c r="E216" s="15"/>
      <c r="F216" s="15"/>
      <c r="G216" s="15"/>
      <c r="H216" s="15"/>
      <c r="I216" s="15"/>
      <c r="J216" s="15"/>
      <c r="K216" s="15"/>
      <c r="L216" s="8"/>
      <c r="M216" s="8"/>
    </row>
    <row r="217" spans="1:13">
      <c r="A217" s="8">
        <v>56</v>
      </c>
      <c r="B217" s="8" t="s">
        <v>51</v>
      </c>
      <c r="C217" s="8" t="s">
        <v>12</v>
      </c>
      <c r="D217" s="15">
        <v>6887.78</v>
      </c>
      <c r="E217" s="15">
        <v>188.93</v>
      </c>
      <c r="F217" s="15">
        <v>66.77</v>
      </c>
      <c r="G217" s="15">
        <v>49.47</v>
      </c>
      <c r="H217" s="15">
        <v>-0.02</v>
      </c>
      <c r="I217" s="15"/>
      <c r="J217" s="15"/>
      <c r="K217" s="15">
        <f>SUM(D217:J217)</f>
        <v>7192.93</v>
      </c>
      <c r="L217" s="8"/>
      <c r="M217" s="8"/>
    </row>
    <row r="218" spans="1:13">
      <c r="A218" s="8"/>
      <c r="B218" s="8"/>
      <c r="C218" s="8" t="s">
        <v>13</v>
      </c>
      <c r="D218" s="15">
        <v>136.99</v>
      </c>
      <c r="E218" s="15">
        <v>4.47</v>
      </c>
      <c r="F218" s="15">
        <v>1.37</v>
      </c>
      <c r="G218" s="15">
        <v>0.97</v>
      </c>
      <c r="H218" s="15">
        <v>0.02</v>
      </c>
      <c r="I218" s="15"/>
      <c r="J218" s="15"/>
      <c r="K218" s="15">
        <f>SUM(D218:J218)</f>
        <v>143.82000000000002</v>
      </c>
      <c r="L218" s="8"/>
      <c r="M218" s="8"/>
    </row>
    <row r="219" spans="1:13">
      <c r="A219" s="8"/>
      <c r="B219" s="8"/>
      <c r="C219" s="8"/>
      <c r="D219" s="15"/>
      <c r="E219" s="15"/>
      <c r="F219" s="15"/>
      <c r="G219" s="15"/>
      <c r="H219" s="15"/>
      <c r="I219" s="15"/>
      <c r="J219" s="15"/>
      <c r="K219" s="15"/>
      <c r="L219" s="8"/>
      <c r="M219" s="8"/>
    </row>
    <row r="220" spans="1:13">
      <c r="A220" s="8"/>
      <c r="B220" s="8"/>
      <c r="C220" s="8" t="s">
        <v>10</v>
      </c>
      <c r="D220" s="15">
        <f t="shared" ref="D220:J220" si="33">SUM(D217:D218)</f>
        <v>7024.7699999999995</v>
      </c>
      <c r="E220" s="15">
        <f t="shared" si="33"/>
        <v>193.4</v>
      </c>
      <c r="F220" s="15">
        <f t="shared" si="33"/>
        <v>68.14</v>
      </c>
      <c r="G220" s="15">
        <f t="shared" si="33"/>
        <v>50.44</v>
      </c>
      <c r="H220" s="15">
        <f t="shared" si="33"/>
        <v>0</v>
      </c>
      <c r="I220" s="15">
        <f t="shared" si="33"/>
        <v>0</v>
      </c>
      <c r="J220" s="15">
        <f t="shared" si="33"/>
        <v>0</v>
      </c>
      <c r="K220" s="15">
        <f>SUM(D220:J220)</f>
        <v>7336.7499999999991</v>
      </c>
      <c r="L220" s="8"/>
      <c r="M220" s="8"/>
    </row>
    <row r="221" spans="1:13">
      <c r="A221" s="8"/>
      <c r="B221" s="8"/>
      <c r="C221" s="8"/>
      <c r="D221" s="15"/>
      <c r="E221" s="15"/>
      <c r="F221" s="15"/>
      <c r="G221" s="15"/>
      <c r="H221" s="15"/>
      <c r="I221" s="15"/>
      <c r="J221" s="15"/>
      <c r="K221" s="15"/>
      <c r="L221" s="8"/>
      <c r="M221" s="8"/>
    </row>
    <row r="222" spans="1:13">
      <c r="A222" s="8"/>
      <c r="B222" s="8"/>
      <c r="C222" s="8"/>
      <c r="D222" s="15"/>
      <c r="E222" s="15"/>
      <c r="F222" s="15"/>
      <c r="G222" s="15"/>
      <c r="H222" s="15"/>
      <c r="I222" s="15"/>
      <c r="J222" s="15"/>
      <c r="K222" s="15"/>
      <c r="L222" s="8"/>
      <c r="M222" s="8"/>
    </row>
    <row r="223" spans="1:13">
      <c r="A223" s="8">
        <v>57</v>
      </c>
      <c r="B223" s="8" t="s">
        <v>52</v>
      </c>
      <c r="C223" s="8" t="s">
        <v>12</v>
      </c>
      <c r="D223" s="15">
        <v>20970.939999999999</v>
      </c>
      <c r="E223" s="15">
        <v>568.41999999999996</v>
      </c>
      <c r="F223" s="15">
        <v>437.96</v>
      </c>
      <c r="G223" s="15">
        <v>58.93</v>
      </c>
      <c r="H223" s="15">
        <v>-0.13</v>
      </c>
      <c r="I223" s="15">
        <v>-0.16</v>
      </c>
      <c r="J223" s="15"/>
      <c r="K223" s="15">
        <f>SUM(D223:J223)</f>
        <v>22035.959999999995</v>
      </c>
      <c r="L223" s="8"/>
      <c r="M223" s="8"/>
    </row>
    <row r="224" spans="1:13">
      <c r="A224" s="8"/>
      <c r="B224" s="8"/>
      <c r="C224" s="8" t="s">
        <v>13</v>
      </c>
      <c r="D224" s="15">
        <v>531.97</v>
      </c>
      <c r="E224" s="15">
        <v>20.079999999999998</v>
      </c>
      <c r="F224" s="15">
        <v>16.510000000000002</v>
      </c>
      <c r="G224" s="15">
        <v>1.46</v>
      </c>
      <c r="H224" s="15">
        <v>0.13</v>
      </c>
      <c r="I224" s="15">
        <v>0.16</v>
      </c>
      <c r="J224" s="15"/>
      <c r="K224" s="15">
        <f>SUM(D224:J224)</f>
        <v>570.31000000000006</v>
      </c>
      <c r="L224" s="8"/>
      <c r="M224" s="8"/>
    </row>
    <row r="225" spans="1:13">
      <c r="A225" s="8"/>
      <c r="B225" s="8"/>
      <c r="C225" s="8"/>
      <c r="D225" s="15"/>
      <c r="E225" s="15"/>
      <c r="F225" s="15"/>
      <c r="G225" s="15"/>
      <c r="H225" s="15"/>
      <c r="I225" s="15"/>
      <c r="J225" s="15"/>
      <c r="K225" s="15"/>
      <c r="L225" s="8"/>
      <c r="M225" s="8"/>
    </row>
    <row r="226" spans="1:13">
      <c r="A226" s="8"/>
      <c r="B226" s="8"/>
      <c r="C226" s="8" t="s">
        <v>10</v>
      </c>
      <c r="D226" s="15">
        <f t="shared" ref="D226:J226" si="34">SUM(D223:D224)</f>
        <v>21502.91</v>
      </c>
      <c r="E226" s="15">
        <f t="shared" si="34"/>
        <v>588.5</v>
      </c>
      <c r="F226" s="15">
        <f t="shared" si="34"/>
        <v>454.46999999999997</v>
      </c>
      <c r="G226" s="15">
        <f t="shared" si="34"/>
        <v>60.39</v>
      </c>
      <c r="H226" s="15">
        <f t="shared" si="34"/>
        <v>0</v>
      </c>
      <c r="I226" s="15">
        <f t="shared" si="34"/>
        <v>0</v>
      </c>
      <c r="J226" s="15">
        <f t="shared" si="34"/>
        <v>0</v>
      </c>
      <c r="K226" s="15">
        <f>SUM(D226:J226)</f>
        <v>22606.27</v>
      </c>
      <c r="L226" s="8"/>
      <c r="M226" s="8"/>
    </row>
    <row r="227" spans="1:13">
      <c r="A227" s="8"/>
      <c r="B227" s="8"/>
      <c r="C227" s="8"/>
      <c r="D227" s="15"/>
      <c r="E227" s="15"/>
      <c r="F227" s="15"/>
      <c r="G227" s="15"/>
      <c r="H227" s="15"/>
      <c r="I227" s="15"/>
      <c r="J227" s="15"/>
      <c r="K227" s="15"/>
      <c r="L227" s="8"/>
      <c r="M227" s="8"/>
    </row>
    <row r="228" spans="1:13">
      <c r="A228" s="8"/>
      <c r="B228" s="8"/>
      <c r="C228" s="8"/>
      <c r="D228" s="15"/>
      <c r="E228" s="15"/>
      <c r="F228" s="15"/>
      <c r="G228" s="15"/>
      <c r="H228" s="15"/>
      <c r="I228" s="15"/>
      <c r="J228" s="15"/>
      <c r="K228" s="15"/>
      <c r="L228" s="8"/>
      <c r="M228" s="8"/>
    </row>
    <row r="229" spans="1:13">
      <c r="A229" s="8">
        <v>58</v>
      </c>
      <c r="B229" s="8" t="s">
        <v>53</v>
      </c>
      <c r="C229" s="8" t="s">
        <v>12</v>
      </c>
      <c r="D229" s="15">
        <v>11273.06</v>
      </c>
      <c r="E229" s="15">
        <v>451.6</v>
      </c>
      <c r="F229" s="15">
        <v>299.58</v>
      </c>
      <c r="G229" s="15">
        <v>0.22</v>
      </c>
      <c r="H229" s="15">
        <v>0</v>
      </c>
      <c r="I229" s="15"/>
      <c r="J229" s="15"/>
      <c r="K229" s="15">
        <f>SUM(D229:J229)</f>
        <v>12024.46</v>
      </c>
      <c r="L229" s="8"/>
      <c r="M229" s="8"/>
    </row>
    <row r="230" spans="1:13">
      <c r="A230" s="8"/>
      <c r="B230" s="8"/>
      <c r="C230" s="8" t="s">
        <v>13</v>
      </c>
      <c r="D230" s="15"/>
      <c r="E230" s="15"/>
      <c r="F230" s="15"/>
      <c r="G230" s="15">
        <v>-0.22</v>
      </c>
      <c r="H230" s="15">
        <v>0</v>
      </c>
      <c r="I230" s="15"/>
      <c r="J230" s="15"/>
      <c r="K230" s="15">
        <f>SUM(D230:J230)</f>
        <v>-0.22</v>
      </c>
      <c r="L230" s="8"/>
      <c r="M230" s="8"/>
    </row>
    <row r="231" spans="1:13">
      <c r="A231" s="8"/>
      <c r="B231" s="8"/>
      <c r="C231" s="8"/>
      <c r="D231" s="15"/>
      <c r="E231" s="15"/>
      <c r="F231" s="15"/>
      <c r="G231" s="15"/>
      <c r="H231" s="15"/>
      <c r="I231" s="15"/>
      <c r="J231" s="15"/>
      <c r="K231" s="15"/>
      <c r="L231" s="8"/>
      <c r="M231" s="8"/>
    </row>
    <row r="232" spans="1:13">
      <c r="A232" s="8"/>
      <c r="B232" s="8"/>
      <c r="C232" s="8" t="s">
        <v>10</v>
      </c>
      <c r="D232" s="15">
        <f t="shared" ref="D232:J232" si="35">SUM(D229:D230)</f>
        <v>11273.06</v>
      </c>
      <c r="E232" s="15">
        <f t="shared" si="35"/>
        <v>451.6</v>
      </c>
      <c r="F232" s="15">
        <f t="shared" si="35"/>
        <v>299.58</v>
      </c>
      <c r="G232" s="15">
        <f t="shared" si="35"/>
        <v>0</v>
      </c>
      <c r="H232" s="15">
        <f t="shared" si="35"/>
        <v>0</v>
      </c>
      <c r="I232" s="15">
        <f t="shared" si="35"/>
        <v>0</v>
      </c>
      <c r="J232" s="15">
        <f t="shared" si="35"/>
        <v>0</v>
      </c>
      <c r="K232" s="15">
        <f>SUM(D232:J232)</f>
        <v>12024.24</v>
      </c>
      <c r="L232" s="8"/>
      <c r="M232" s="8"/>
    </row>
    <row r="233" spans="1:13">
      <c r="A233" s="8"/>
      <c r="B233" s="8"/>
      <c r="C233" s="8"/>
      <c r="D233" s="15"/>
      <c r="E233" s="15"/>
      <c r="F233" s="15"/>
      <c r="G233" s="15"/>
      <c r="H233" s="15"/>
      <c r="I233" s="15"/>
      <c r="J233" s="15"/>
      <c r="K233" s="15"/>
      <c r="L233" s="8"/>
      <c r="M233" s="8"/>
    </row>
    <row r="234" spans="1:13">
      <c r="A234" s="8"/>
      <c r="B234" s="8"/>
      <c r="C234" s="8"/>
      <c r="D234" s="15"/>
      <c r="E234" s="15"/>
      <c r="F234" s="15"/>
      <c r="G234" s="15"/>
      <c r="H234" s="15"/>
      <c r="I234" s="15"/>
      <c r="J234" s="15"/>
      <c r="K234" s="15"/>
      <c r="L234" s="8"/>
      <c r="M234" s="8"/>
    </row>
    <row r="235" spans="1:13">
      <c r="A235" s="8">
        <v>59</v>
      </c>
      <c r="B235" s="8" t="s">
        <v>54</v>
      </c>
      <c r="C235" s="8" t="s">
        <v>12</v>
      </c>
      <c r="D235" s="15">
        <v>11725.2</v>
      </c>
      <c r="E235" s="15">
        <v>395.93</v>
      </c>
      <c r="F235" s="15">
        <v>57.6</v>
      </c>
      <c r="G235" s="15">
        <v>31.6</v>
      </c>
      <c r="H235" s="15">
        <v>-0.13</v>
      </c>
      <c r="I235" s="15">
        <v>-0.26</v>
      </c>
      <c r="J235" s="15"/>
      <c r="K235" s="15">
        <f>SUM(D235:J235)</f>
        <v>12209.940000000002</v>
      </c>
      <c r="L235" s="8"/>
      <c r="M235" s="8"/>
    </row>
    <row r="236" spans="1:13">
      <c r="A236" s="8"/>
      <c r="B236" s="8"/>
      <c r="C236" s="8" t="s">
        <v>35</v>
      </c>
      <c r="D236" s="15"/>
      <c r="E236" s="15">
        <v>17.29</v>
      </c>
      <c r="F236" s="15">
        <v>3.72</v>
      </c>
      <c r="G236" s="15">
        <v>2.27</v>
      </c>
      <c r="H236" s="15">
        <v>0.13</v>
      </c>
      <c r="I236" s="15">
        <v>0.26</v>
      </c>
      <c r="J236" s="15"/>
      <c r="K236" s="15">
        <f>SUM(D236:J236)</f>
        <v>23.669999999999998</v>
      </c>
      <c r="L236" s="8"/>
      <c r="M236" s="8"/>
    </row>
    <row r="237" spans="1:13">
      <c r="A237" s="8"/>
      <c r="B237" s="8"/>
      <c r="C237" s="8"/>
      <c r="D237" s="15"/>
      <c r="E237" s="15"/>
      <c r="F237" s="15"/>
      <c r="G237" s="15"/>
      <c r="H237" s="15"/>
      <c r="I237" s="15"/>
      <c r="J237" s="15"/>
      <c r="K237" s="15"/>
      <c r="L237" s="8"/>
      <c r="M237" s="8"/>
    </row>
    <row r="238" spans="1:13">
      <c r="A238" s="8"/>
      <c r="B238" s="8"/>
      <c r="C238" s="8" t="s">
        <v>10</v>
      </c>
      <c r="D238" s="15">
        <f t="shared" ref="D238:J238" si="36">SUM(D235:D236)</f>
        <v>11725.2</v>
      </c>
      <c r="E238" s="15">
        <f t="shared" si="36"/>
        <v>413.22</v>
      </c>
      <c r="F238" s="15">
        <f t="shared" si="36"/>
        <v>61.32</v>
      </c>
      <c r="G238" s="15">
        <f t="shared" si="36"/>
        <v>33.870000000000005</v>
      </c>
      <c r="H238" s="15">
        <f t="shared" si="36"/>
        <v>0</v>
      </c>
      <c r="I238" s="15">
        <f t="shared" si="36"/>
        <v>0</v>
      </c>
      <c r="J238" s="15">
        <f t="shared" si="36"/>
        <v>0</v>
      </c>
      <c r="K238" s="15">
        <f>SUM(D238:J238)</f>
        <v>12233.61</v>
      </c>
      <c r="L238" s="8"/>
      <c r="M238" s="8"/>
    </row>
    <row r="239" spans="1:13">
      <c r="A239" s="8"/>
      <c r="B239" s="8"/>
      <c r="C239" s="8"/>
      <c r="D239" s="15"/>
      <c r="E239" s="15"/>
      <c r="F239" s="15"/>
      <c r="G239" s="15"/>
      <c r="H239" s="15"/>
      <c r="I239" s="15"/>
      <c r="J239" s="15"/>
      <c r="K239" s="15"/>
      <c r="L239" s="8"/>
      <c r="M239" s="8"/>
    </row>
    <row r="240" spans="1:13">
      <c r="A240" s="8"/>
      <c r="B240" s="8"/>
      <c r="C240" s="8"/>
      <c r="D240" s="15"/>
      <c r="E240" s="15"/>
      <c r="F240" s="15"/>
      <c r="G240" s="15"/>
      <c r="H240" s="15"/>
      <c r="I240" s="15"/>
      <c r="J240" s="15"/>
      <c r="K240" s="15"/>
      <c r="L240" s="8"/>
      <c r="M240" s="8"/>
    </row>
    <row r="241" spans="1:13">
      <c r="A241" s="8">
        <v>60</v>
      </c>
      <c r="B241" s="8" t="s">
        <v>55</v>
      </c>
      <c r="C241" s="8" t="s">
        <v>12</v>
      </c>
      <c r="D241" s="15">
        <v>41935.43</v>
      </c>
      <c r="E241" s="15">
        <v>1018.5</v>
      </c>
      <c r="F241" s="15">
        <v>227.14</v>
      </c>
      <c r="G241" s="15">
        <v>47</v>
      </c>
      <c r="H241" s="15">
        <v>43.51</v>
      </c>
      <c r="I241" s="15">
        <v>8.44</v>
      </c>
      <c r="J241" s="15">
        <v>6.16</v>
      </c>
      <c r="K241" s="15">
        <f>SUM(D241:J241)</f>
        <v>43286.180000000008</v>
      </c>
      <c r="L241" s="8"/>
      <c r="M241" s="8"/>
    </row>
    <row r="242" spans="1:13">
      <c r="A242" s="8"/>
      <c r="B242" s="8"/>
      <c r="C242" s="8"/>
      <c r="D242" s="15"/>
      <c r="E242" s="15"/>
      <c r="F242" s="15"/>
      <c r="G242" s="15"/>
      <c r="H242" s="15"/>
      <c r="I242" s="15"/>
      <c r="J242" s="15"/>
      <c r="K242" s="15"/>
      <c r="L242" s="8"/>
      <c r="M242" s="8"/>
    </row>
    <row r="243" spans="1:13">
      <c r="A243" s="8"/>
      <c r="B243" s="8"/>
      <c r="C243" s="8" t="s">
        <v>10</v>
      </c>
      <c r="D243" s="15">
        <f t="shared" ref="D243:J243" si="37">SUM(D241:D242)</f>
        <v>41935.43</v>
      </c>
      <c r="E243" s="15">
        <f t="shared" si="37"/>
        <v>1018.5</v>
      </c>
      <c r="F243" s="15">
        <f t="shared" si="37"/>
        <v>227.14</v>
      </c>
      <c r="G243" s="15">
        <f t="shared" si="37"/>
        <v>47</v>
      </c>
      <c r="H243" s="15">
        <f t="shared" si="37"/>
        <v>43.51</v>
      </c>
      <c r="I243" s="15">
        <f t="shared" si="37"/>
        <v>8.44</v>
      </c>
      <c r="J243" s="15">
        <f t="shared" si="37"/>
        <v>6.16</v>
      </c>
      <c r="K243" s="15">
        <f>SUM(D243:J243)</f>
        <v>43286.180000000008</v>
      </c>
      <c r="L243" s="8"/>
      <c r="M243" s="8"/>
    </row>
    <row r="244" spans="1:13">
      <c r="A244" s="8"/>
      <c r="B244" s="8"/>
      <c r="C244" s="8"/>
      <c r="D244" s="15"/>
      <c r="E244" s="15"/>
      <c r="F244" s="15"/>
      <c r="G244" s="15"/>
      <c r="H244" s="15"/>
      <c r="I244" s="15"/>
      <c r="J244" s="15"/>
      <c r="K244" s="15"/>
      <c r="L244" s="8"/>
      <c r="M244" s="8"/>
    </row>
    <row r="245" spans="1:13">
      <c r="A245" s="8"/>
      <c r="B245" s="8"/>
      <c r="C245" s="8"/>
      <c r="D245" s="15"/>
      <c r="E245" s="15"/>
      <c r="F245" s="15"/>
      <c r="G245" s="15"/>
      <c r="H245" s="15"/>
      <c r="I245" s="15"/>
      <c r="J245" s="15"/>
      <c r="K245" s="15"/>
      <c r="L245" s="8"/>
      <c r="M245" s="8"/>
    </row>
    <row r="246" spans="1:13">
      <c r="A246" s="8">
        <v>61</v>
      </c>
      <c r="B246" s="8" t="s">
        <v>56</v>
      </c>
      <c r="C246" s="8" t="s">
        <v>12</v>
      </c>
      <c r="D246" s="15">
        <v>7879.15</v>
      </c>
      <c r="E246" s="15">
        <v>98.12</v>
      </c>
      <c r="F246" s="15">
        <v>5.83</v>
      </c>
      <c r="G246" s="15">
        <v>0.11</v>
      </c>
      <c r="H246" s="15">
        <v>0</v>
      </c>
      <c r="I246" s="15"/>
      <c r="J246" s="15"/>
      <c r="K246" s="15">
        <f>SUM(D246:J246)</f>
        <v>7983.2099999999991</v>
      </c>
      <c r="L246" s="8"/>
      <c r="M246" s="8"/>
    </row>
    <row r="247" spans="1:13">
      <c r="A247" s="8"/>
      <c r="B247" s="8"/>
      <c r="C247" s="8" t="s">
        <v>13</v>
      </c>
      <c r="D247" s="15">
        <v>134.83000000000001</v>
      </c>
      <c r="E247" s="15">
        <v>1.35</v>
      </c>
      <c r="F247" s="15">
        <v>0.05</v>
      </c>
      <c r="G247" s="15">
        <v>-0.11</v>
      </c>
      <c r="H247" s="15">
        <v>0</v>
      </c>
      <c r="I247" s="15"/>
      <c r="J247" s="15"/>
      <c r="K247" s="15">
        <f>SUM(D247:J247)</f>
        <v>136.12</v>
      </c>
      <c r="L247" s="8"/>
      <c r="M247" s="8"/>
    </row>
    <row r="248" spans="1:13">
      <c r="A248" s="8"/>
      <c r="B248" s="8"/>
      <c r="C248" s="8"/>
      <c r="D248" s="15"/>
      <c r="E248" s="15"/>
      <c r="F248" s="15"/>
      <c r="G248" s="15"/>
      <c r="H248" s="15"/>
      <c r="I248" s="15"/>
      <c r="J248" s="15"/>
      <c r="K248" s="15"/>
      <c r="L248" s="8"/>
      <c r="M248" s="8"/>
    </row>
    <row r="249" spans="1:13">
      <c r="A249" s="8"/>
      <c r="B249" s="8"/>
      <c r="C249" s="8" t="s">
        <v>10</v>
      </c>
      <c r="D249" s="15">
        <f t="shared" ref="D249:J249" si="38">SUM(D246:D247)</f>
        <v>8013.98</v>
      </c>
      <c r="E249" s="15">
        <f t="shared" si="38"/>
        <v>99.47</v>
      </c>
      <c r="F249" s="15">
        <f t="shared" si="38"/>
        <v>5.88</v>
      </c>
      <c r="G249" s="15">
        <f t="shared" si="38"/>
        <v>0</v>
      </c>
      <c r="H249" s="15">
        <f t="shared" si="38"/>
        <v>0</v>
      </c>
      <c r="I249" s="15">
        <f t="shared" si="38"/>
        <v>0</v>
      </c>
      <c r="J249" s="15">
        <f t="shared" si="38"/>
        <v>0</v>
      </c>
      <c r="K249" s="15">
        <f>SUM(D249:J249)</f>
        <v>8119.33</v>
      </c>
      <c r="L249" s="8"/>
      <c r="M249" s="8"/>
    </row>
    <row r="250" spans="1:13">
      <c r="A250" s="8"/>
      <c r="B250" s="8"/>
      <c r="C250" s="8"/>
      <c r="D250" s="15"/>
      <c r="E250" s="15"/>
      <c r="F250" s="15"/>
      <c r="G250" s="15"/>
      <c r="H250" s="15"/>
      <c r="I250" s="15"/>
      <c r="J250" s="15"/>
      <c r="K250" s="15"/>
      <c r="L250" s="8"/>
      <c r="M250" s="8"/>
    </row>
    <row r="251" spans="1:13">
      <c r="A251" s="8"/>
      <c r="B251" s="8"/>
      <c r="C251" s="8"/>
      <c r="D251" s="15"/>
      <c r="E251" s="15"/>
      <c r="F251" s="15"/>
      <c r="G251" s="15"/>
      <c r="H251" s="15"/>
      <c r="I251" s="15"/>
      <c r="J251" s="15"/>
      <c r="K251" s="15"/>
      <c r="L251" s="8"/>
      <c r="M251" s="8"/>
    </row>
    <row r="252" spans="1:13">
      <c r="A252" s="8">
        <v>62</v>
      </c>
      <c r="B252" s="8" t="s">
        <v>57</v>
      </c>
      <c r="C252" s="8" t="s">
        <v>12</v>
      </c>
      <c r="D252" s="15">
        <v>4010.37</v>
      </c>
      <c r="E252" s="15">
        <v>36.69</v>
      </c>
      <c r="F252" s="15">
        <v>0.01</v>
      </c>
      <c r="G252" s="15">
        <v>-0.04</v>
      </c>
      <c r="H252" s="15">
        <v>-0.19</v>
      </c>
      <c r="I252" s="15"/>
      <c r="J252" s="15"/>
      <c r="K252" s="15">
        <f>SUM(D252:J252)</f>
        <v>4046.84</v>
      </c>
      <c r="L252" s="8"/>
      <c r="M252" s="8"/>
    </row>
    <row r="253" spans="1:13">
      <c r="A253" s="8"/>
      <c r="B253" s="8"/>
      <c r="C253" s="8" t="s">
        <v>13</v>
      </c>
      <c r="D253" s="15">
        <v>89.65</v>
      </c>
      <c r="E253" s="15">
        <v>0.79</v>
      </c>
      <c r="F253" s="15">
        <v>-0.01</v>
      </c>
      <c r="G253" s="15">
        <v>0.04</v>
      </c>
      <c r="H253" s="15">
        <v>0.19</v>
      </c>
      <c r="I253" s="15"/>
      <c r="J253" s="15"/>
      <c r="K253" s="15">
        <f>SUM(D253:J253)</f>
        <v>90.660000000000011</v>
      </c>
      <c r="L253" s="8"/>
      <c r="M253" s="8"/>
    </row>
    <row r="254" spans="1:13">
      <c r="A254" s="8"/>
      <c r="B254" s="8"/>
      <c r="C254" s="8"/>
      <c r="D254" s="15"/>
      <c r="E254" s="15"/>
      <c r="F254" s="15"/>
      <c r="G254" s="15"/>
      <c r="H254" s="15"/>
      <c r="I254" s="15"/>
      <c r="J254" s="15"/>
      <c r="K254" s="15"/>
      <c r="L254" s="8"/>
      <c r="M254" s="8"/>
    </row>
    <row r="255" spans="1:13">
      <c r="A255" s="8"/>
      <c r="B255" s="8"/>
      <c r="C255" s="8" t="s">
        <v>10</v>
      </c>
      <c r="D255" s="15">
        <f t="shared" ref="D255:J255" si="39">SUM(D252:D253)</f>
        <v>4100.0199999999995</v>
      </c>
      <c r="E255" s="15">
        <f t="shared" si="39"/>
        <v>37.479999999999997</v>
      </c>
      <c r="F255" s="15">
        <f t="shared" si="39"/>
        <v>0</v>
      </c>
      <c r="G255" s="15">
        <f t="shared" si="39"/>
        <v>0</v>
      </c>
      <c r="H255" s="15">
        <f t="shared" si="39"/>
        <v>0</v>
      </c>
      <c r="I255" s="15">
        <f t="shared" si="39"/>
        <v>0</v>
      </c>
      <c r="J255" s="15">
        <f t="shared" si="39"/>
        <v>0</v>
      </c>
      <c r="K255" s="15">
        <f>SUM(D255:J255)</f>
        <v>4137.4999999999991</v>
      </c>
      <c r="L255" s="8"/>
      <c r="M255" s="8"/>
    </row>
    <row r="256" spans="1:13">
      <c r="A256" s="8"/>
      <c r="B256" s="8"/>
      <c r="C256" s="8"/>
      <c r="D256" s="15"/>
      <c r="E256" s="15"/>
      <c r="F256" s="15"/>
      <c r="G256" s="15"/>
      <c r="H256" s="15"/>
      <c r="I256" s="15"/>
      <c r="J256" s="15"/>
      <c r="K256" s="15"/>
      <c r="L256" s="8"/>
      <c r="M256" s="8"/>
    </row>
    <row r="257" spans="1:13">
      <c r="A257" s="8"/>
      <c r="B257" s="8"/>
      <c r="C257" s="8"/>
      <c r="D257" s="15"/>
      <c r="E257" s="15"/>
      <c r="F257" s="15"/>
      <c r="G257" s="15"/>
      <c r="H257" s="15"/>
      <c r="I257" s="15"/>
      <c r="J257" s="15"/>
      <c r="K257" s="15"/>
      <c r="L257" s="8"/>
      <c r="M257" s="8"/>
    </row>
    <row r="258" spans="1:13">
      <c r="A258" s="8">
        <v>63</v>
      </c>
      <c r="B258" s="8" t="s">
        <v>58</v>
      </c>
      <c r="C258" s="8" t="s">
        <v>12</v>
      </c>
      <c r="D258" s="15">
        <v>7515.25</v>
      </c>
      <c r="E258" s="15">
        <v>438.75</v>
      </c>
      <c r="F258" s="15">
        <v>431.62</v>
      </c>
      <c r="G258" s="15">
        <v>400.9</v>
      </c>
      <c r="H258" s="15">
        <v>-0.15</v>
      </c>
      <c r="I258" s="15"/>
      <c r="J258" s="15"/>
      <c r="K258" s="15">
        <f>SUM(D258:J258)</f>
        <v>8786.3700000000008</v>
      </c>
      <c r="L258" s="8"/>
      <c r="M258" s="8"/>
    </row>
    <row r="259" spans="1:13">
      <c r="A259" s="8"/>
      <c r="B259" s="8"/>
      <c r="C259" s="8" t="s">
        <v>13</v>
      </c>
      <c r="D259" s="15">
        <v>599.33000000000004</v>
      </c>
      <c r="E259" s="15">
        <v>34.81</v>
      </c>
      <c r="F259" s="15">
        <v>32.659999999999997</v>
      </c>
      <c r="G259" s="15">
        <v>27.62</v>
      </c>
      <c r="H259" s="15">
        <v>0.15</v>
      </c>
      <c r="I259" s="15"/>
      <c r="J259" s="15"/>
      <c r="K259" s="15">
        <f>SUM(D259:J259)</f>
        <v>694.57</v>
      </c>
      <c r="L259" s="8"/>
      <c r="M259" s="8"/>
    </row>
    <row r="260" spans="1:13">
      <c r="A260" s="8"/>
      <c r="B260" s="8"/>
      <c r="C260" s="8"/>
      <c r="D260" s="15"/>
      <c r="E260" s="15"/>
      <c r="F260" s="15"/>
      <c r="G260" s="15"/>
      <c r="H260" s="15"/>
      <c r="I260" s="15"/>
      <c r="J260" s="15"/>
      <c r="K260" s="15"/>
      <c r="L260" s="8"/>
      <c r="M260" s="8"/>
    </row>
    <row r="261" spans="1:13">
      <c r="A261" s="8"/>
      <c r="B261" s="8"/>
      <c r="C261" s="8" t="s">
        <v>10</v>
      </c>
      <c r="D261" s="15">
        <f t="shared" ref="D261:J261" si="40">SUM(D258:D259)</f>
        <v>8114.58</v>
      </c>
      <c r="E261" s="15">
        <f t="shared" si="40"/>
        <v>473.56</v>
      </c>
      <c r="F261" s="15">
        <f t="shared" si="40"/>
        <v>464.28</v>
      </c>
      <c r="G261" s="15">
        <f t="shared" si="40"/>
        <v>428.52</v>
      </c>
      <c r="H261" s="15">
        <f t="shared" si="40"/>
        <v>0</v>
      </c>
      <c r="I261" s="15">
        <f t="shared" si="40"/>
        <v>0</v>
      </c>
      <c r="J261" s="15">
        <f t="shared" si="40"/>
        <v>0</v>
      </c>
      <c r="K261" s="15">
        <f>SUM(D261:J261)</f>
        <v>9480.94</v>
      </c>
      <c r="L261" s="8"/>
      <c r="M261" s="8"/>
    </row>
    <row r="262" spans="1:13">
      <c r="A262" s="8"/>
      <c r="B262" s="8"/>
      <c r="C262" s="8"/>
      <c r="D262" s="15"/>
      <c r="E262" s="15"/>
      <c r="F262" s="15"/>
      <c r="G262" s="15"/>
      <c r="H262" s="15"/>
      <c r="I262" s="15"/>
      <c r="J262" s="15"/>
      <c r="K262" s="15"/>
      <c r="L262" s="8"/>
      <c r="M262" s="8"/>
    </row>
    <row r="263" spans="1:13">
      <c r="A263" s="8"/>
      <c r="B263" s="8"/>
      <c r="C263" s="8"/>
      <c r="D263" s="15"/>
      <c r="E263" s="15"/>
      <c r="F263" s="15"/>
      <c r="G263" s="15"/>
      <c r="H263" s="15"/>
      <c r="I263" s="15"/>
      <c r="J263" s="15"/>
      <c r="K263" s="15"/>
      <c r="L263" s="8"/>
      <c r="M263" s="8"/>
    </row>
    <row r="264" spans="1:13">
      <c r="A264" s="8">
        <v>64</v>
      </c>
      <c r="B264" s="8" t="s">
        <v>59</v>
      </c>
      <c r="C264" s="8" t="s">
        <v>12</v>
      </c>
      <c r="D264" s="15">
        <v>38983.25</v>
      </c>
      <c r="E264" s="15">
        <v>1255.57</v>
      </c>
      <c r="F264" s="15">
        <v>670.33</v>
      </c>
      <c r="G264" s="15">
        <v>207.66</v>
      </c>
      <c r="H264" s="15">
        <v>175</v>
      </c>
      <c r="I264" s="15">
        <v>0</v>
      </c>
      <c r="J264" s="15"/>
      <c r="K264" s="15">
        <f>SUM(D264:J264)</f>
        <v>41291.810000000005</v>
      </c>
      <c r="L264" s="8"/>
      <c r="M264" s="8"/>
    </row>
    <row r="265" spans="1:13">
      <c r="A265" s="8"/>
      <c r="B265" s="8"/>
      <c r="C265" s="8"/>
      <c r="D265" s="15"/>
      <c r="E265" s="15"/>
      <c r="F265" s="15"/>
      <c r="G265" s="15"/>
      <c r="H265" s="15"/>
      <c r="I265" s="15"/>
      <c r="J265" s="15"/>
      <c r="K265" s="15"/>
      <c r="L265" s="8"/>
      <c r="M265" s="8"/>
    </row>
    <row r="266" spans="1:13">
      <c r="A266" s="8"/>
      <c r="B266" s="8"/>
      <c r="C266" s="8" t="s">
        <v>10</v>
      </c>
      <c r="D266" s="15">
        <f t="shared" ref="D266:J266" si="41">SUM(D264:D265)</f>
        <v>38983.25</v>
      </c>
      <c r="E266" s="15">
        <f t="shared" si="41"/>
        <v>1255.57</v>
      </c>
      <c r="F266" s="15">
        <f t="shared" si="41"/>
        <v>670.33</v>
      </c>
      <c r="G266" s="15">
        <f t="shared" si="41"/>
        <v>207.66</v>
      </c>
      <c r="H266" s="15">
        <f t="shared" si="41"/>
        <v>175</v>
      </c>
      <c r="I266" s="15">
        <f t="shared" si="41"/>
        <v>0</v>
      </c>
      <c r="J266" s="15">
        <f t="shared" si="41"/>
        <v>0</v>
      </c>
      <c r="K266" s="15">
        <f>SUM(D266:J266)</f>
        <v>41291.810000000005</v>
      </c>
      <c r="L266" s="8"/>
      <c r="M266" s="8"/>
    </row>
    <row r="267" spans="1:13">
      <c r="A267" s="8"/>
      <c r="B267" s="8"/>
      <c r="C267" s="8"/>
      <c r="D267" s="15"/>
      <c r="E267" s="15"/>
      <c r="F267" s="15"/>
      <c r="G267" s="15"/>
      <c r="H267" s="15"/>
      <c r="I267" s="15"/>
      <c r="J267" s="15"/>
      <c r="K267" s="15"/>
      <c r="L267" s="8"/>
      <c r="M267" s="8"/>
    </row>
    <row r="268" spans="1:13">
      <c r="A268" s="8"/>
      <c r="B268" s="12"/>
      <c r="C268" s="12"/>
      <c r="D268" s="16"/>
      <c r="E268" s="13"/>
      <c r="F268" s="13"/>
      <c r="G268" s="13"/>
      <c r="H268" s="13"/>
      <c r="I268" s="14"/>
      <c r="J268" s="14"/>
      <c r="K268" s="15"/>
      <c r="L268" s="8"/>
      <c r="M268" s="8"/>
    </row>
    <row r="269" spans="1:13">
      <c r="A269" s="8">
        <v>65</v>
      </c>
      <c r="B269" s="8" t="s">
        <v>60</v>
      </c>
      <c r="C269" s="8" t="s">
        <v>12</v>
      </c>
      <c r="D269" s="15">
        <v>5842.18</v>
      </c>
      <c r="E269" s="15">
        <v>141.34</v>
      </c>
      <c r="F269" s="15">
        <v>136.19</v>
      </c>
      <c r="G269" s="15">
        <v>0</v>
      </c>
      <c r="H269" s="15"/>
      <c r="I269" s="15"/>
      <c r="J269" s="15"/>
      <c r="K269" s="15">
        <f>SUM(D269:J269)</f>
        <v>6119.71</v>
      </c>
      <c r="L269" s="8"/>
      <c r="M269" s="8"/>
    </row>
    <row r="270" spans="1:13">
      <c r="A270" s="8"/>
      <c r="B270" s="8"/>
      <c r="C270" s="8" t="s">
        <v>13</v>
      </c>
      <c r="D270" s="15"/>
      <c r="E270" s="15"/>
      <c r="F270" s="15"/>
      <c r="G270" s="15"/>
      <c r="H270" s="15"/>
      <c r="I270" s="15"/>
      <c r="J270" s="15"/>
      <c r="K270" s="15"/>
      <c r="L270" s="8"/>
      <c r="M270" s="8"/>
    </row>
    <row r="271" spans="1:13">
      <c r="A271" s="8"/>
      <c r="B271" s="8"/>
      <c r="C271" s="8"/>
      <c r="D271" s="15"/>
      <c r="E271" s="15"/>
      <c r="F271" s="15"/>
      <c r="G271" s="15"/>
      <c r="H271" s="15"/>
      <c r="I271" s="15"/>
      <c r="J271" s="15"/>
      <c r="K271" s="15"/>
      <c r="L271" s="8"/>
      <c r="M271" s="8"/>
    </row>
    <row r="272" spans="1:13">
      <c r="A272" s="8"/>
      <c r="B272" s="8"/>
      <c r="C272" s="8" t="s">
        <v>10</v>
      </c>
      <c r="D272" s="15">
        <f t="shared" ref="D272:J272" si="42">SUM(D269:D270)</f>
        <v>5842.18</v>
      </c>
      <c r="E272" s="15">
        <f t="shared" si="42"/>
        <v>141.34</v>
      </c>
      <c r="F272" s="15">
        <f t="shared" si="42"/>
        <v>136.19</v>
      </c>
      <c r="G272" s="15">
        <f t="shared" si="42"/>
        <v>0</v>
      </c>
      <c r="H272" s="15">
        <f t="shared" si="42"/>
        <v>0</v>
      </c>
      <c r="I272" s="15">
        <f t="shared" si="42"/>
        <v>0</v>
      </c>
      <c r="J272" s="15">
        <f t="shared" si="42"/>
        <v>0</v>
      </c>
      <c r="K272" s="15">
        <f>SUM(D272:J272)</f>
        <v>6119.71</v>
      </c>
      <c r="L272" s="8"/>
      <c r="M272" s="8"/>
    </row>
    <row r="273" spans="1:13">
      <c r="A273" s="8"/>
      <c r="B273" s="8"/>
      <c r="C273" s="8"/>
      <c r="D273" s="15"/>
      <c r="E273" s="15"/>
      <c r="F273" s="15"/>
      <c r="G273" s="15"/>
      <c r="H273" s="15"/>
      <c r="I273" s="15"/>
      <c r="J273" s="15"/>
      <c r="K273" s="15"/>
      <c r="L273" s="8"/>
      <c r="M273" s="8"/>
    </row>
    <row r="274" spans="1:13">
      <c r="A274" s="8"/>
      <c r="B274" s="8"/>
      <c r="C274" s="8"/>
      <c r="D274" s="15"/>
      <c r="E274" s="15"/>
      <c r="F274" s="15"/>
      <c r="G274" s="15"/>
      <c r="H274" s="15"/>
      <c r="I274" s="15"/>
      <c r="J274" s="15"/>
      <c r="K274" s="15"/>
      <c r="L274" s="8"/>
      <c r="M274" s="8"/>
    </row>
    <row r="275" spans="1:13">
      <c r="A275" s="8">
        <v>66</v>
      </c>
      <c r="B275" s="8" t="s">
        <v>61</v>
      </c>
      <c r="C275" s="8" t="s">
        <v>12</v>
      </c>
      <c r="D275" s="15">
        <v>9345.5400000000009</v>
      </c>
      <c r="E275" s="15">
        <v>205.84</v>
      </c>
      <c r="F275" s="15">
        <v>214.98</v>
      </c>
      <c r="G275" s="15">
        <v>169.19</v>
      </c>
      <c r="H275" s="15">
        <v>70.650000000000006</v>
      </c>
      <c r="I275" s="15">
        <v>0</v>
      </c>
      <c r="J275" s="15"/>
      <c r="K275" s="15">
        <f>SUM(D275:J275)</f>
        <v>10006.200000000001</v>
      </c>
      <c r="L275" s="8"/>
      <c r="M275" s="8"/>
    </row>
    <row r="276" spans="1:13">
      <c r="A276" s="8"/>
      <c r="B276" s="8"/>
      <c r="C276" s="8" t="s">
        <v>13</v>
      </c>
      <c r="D276" s="15"/>
      <c r="E276" s="15"/>
      <c r="F276" s="15"/>
      <c r="G276" s="15">
        <v>2.58</v>
      </c>
      <c r="H276" s="15">
        <v>5.0599999999999996</v>
      </c>
      <c r="I276" s="15">
        <v>0</v>
      </c>
      <c r="J276" s="15"/>
      <c r="K276" s="15">
        <f>SUM(D276:J276)</f>
        <v>7.64</v>
      </c>
      <c r="L276" s="8"/>
      <c r="M276" s="8"/>
    </row>
    <row r="277" spans="1:13">
      <c r="A277" s="8"/>
      <c r="B277" s="8"/>
      <c r="C277" s="8" t="s">
        <v>73</v>
      </c>
      <c r="D277" s="15">
        <v>634.03</v>
      </c>
      <c r="E277" s="8">
        <v>14.15</v>
      </c>
      <c r="F277" s="8">
        <v>14.77</v>
      </c>
      <c r="G277" s="8">
        <v>11.14</v>
      </c>
      <c r="H277" s="8">
        <v>4.71</v>
      </c>
      <c r="I277" s="8">
        <v>0</v>
      </c>
      <c r="J277" s="8"/>
      <c r="K277" s="15">
        <f>SUM(D277:J277)</f>
        <v>678.8</v>
      </c>
      <c r="L277" s="8"/>
      <c r="M277" s="8"/>
    </row>
    <row r="278" spans="1:13">
      <c r="A278" s="8"/>
      <c r="B278" s="8"/>
      <c r="C278" s="8"/>
      <c r="D278" s="15"/>
      <c r="E278" s="8"/>
      <c r="F278" s="8"/>
      <c r="G278" s="8"/>
      <c r="H278" s="8"/>
      <c r="I278" s="8"/>
      <c r="J278" s="8"/>
      <c r="K278" s="15"/>
      <c r="L278" s="8"/>
      <c r="M278" s="8"/>
    </row>
    <row r="279" spans="1:13">
      <c r="A279" s="8"/>
      <c r="B279" s="8"/>
      <c r="C279" s="8" t="s">
        <v>10</v>
      </c>
      <c r="D279" s="15">
        <f t="shared" ref="D279:J279" si="43">SUM(D275:D277)</f>
        <v>9979.5700000000015</v>
      </c>
      <c r="E279" s="15">
        <f t="shared" si="43"/>
        <v>219.99</v>
      </c>
      <c r="F279" s="15">
        <f t="shared" si="43"/>
        <v>229.75</v>
      </c>
      <c r="G279" s="15">
        <f t="shared" si="43"/>
        <v>182.91000000000003</v>
      </c>
      <c r="H279" s="15">
        <f t="shared" si="43"/>
        <v>80.42</v>
      </c>
      <c r="I279" s="15">
        <f t="shared" si="43"/>
        <v>0</v>
      </c>
      <c r="J279" s="15">
        <f t="shared" si="43"/>
        <v>0</v>
      </c>
      <c r="K279" s="15">
        <f>SUM(D279:J279)</f>
        <v>10692.640000000001</v>
      </c>
      <c r="L279" s="8"/>
      <c r="M279" s="8"/>
    </row>
    <row r="280" spans="1:13">
      <c r="A280" s="8"/>
      <c r="B280" s="8"/>
      <c r="C280" s="8"/>
      <c r="D280" s="15"/>
      <c r="E280" s="15"/>
      <c r="F280" s="15"/>
      <c r="G280" s="15"/>
      <c r="H280" s="15"/>
      <c r="I280" s="15"/>
      <c r="J280" s="15"/>
      <c r="K280" s="15"/>
      <c r="L280" s="8"/>
      <c r="M280" s="8"/>
    </row>
    <row r="281" spans="1:13">
      <c r="A281" s="8"/>
      <c r="B281" s="8"/>
      <c r="C281" s="8"/>
      <c r="D281" s="15"/>
      <c r="E281" s="15"/>
      <c r="F281" s="15"/>
      <c r="G281" s="15"/>
      <c r="H281" s="15"/>
      <c r="I281" s="15"/>
      <c r="J281" s="15"/>
      <c r="K281" s="15"/>
      <c r="L281" s="8"/>
      <c r="M281" s="8"/>
    </row>
    <row r="282" spans="1:13">
      <c r="A282" s="8">
        <v>67</v>
      </c>
      <c r="B282" s="8" t="s">
        <v>62</v>
      </c>
      <c r="C282" s="8" t="s">
        <v>12</v>
      </c>
      <c r="D282" s="15">
        <v>6378.87</v>
      </c>
      <c r="E282" s="15">
        <v>254.79</v>
      </c>
      <c r="F282" s="15">
        <v>196.25</v>
      </c>
      <c r="G282" s="15">
        <v>108.11</v>
      </c>
      <c r="H282" s="15">
        <v>109.66</v>
      </c>
      <c r="I282" s="15">
        <v>28.93</v>
      </c>
      <c r="J282" s="15"/>
      <c r="K282" s="15">
        <f>SUM(D282:J282)</f>
        <v>7076.61</v>
      </c>
      <c r="L282" s="8"/>
      <c r="M282" s="8"/>
    </row>
    <row r="283" spans="1:13">
      <c r="A283" s="8"/>
      <c r="B283" s="8"/>
      <c r="C283" s="8" t="s">
        <v>13</v>
      </c>
      <c r="D283" s="15">
        <v>244.57</v>
      </c>
      <c r="E283" s="15">
        <v>10.09</v>
      </c>
      <c r="F283" s="15">
        <v>8.49</v>
      </c>
      <c r="G283" s="15">
        <v>2.62</v>
      </c>
      <c r="H283" s="15">
        <v>2.44</v>
      </c>
      <c r="I283" s="15">
        <v>0.74</v>
      </c>
      <c r="J283" s="15"/>
      <c r="K283" s="15">
        <f>SUM(D283:J283)</f>
        <v>268.95</v>
      </c>
      <c r="L283" s="8"/>
      <c r="M283" s="8"/>
    </row>
    <row r="284" spans="1:13">
      <c r="A284" s="8"/>
      <c r="B284" s="8"/>
      <c r="C284" s="8"/>
      <c r="D284" s="15"/>
      <c r="E284" s="15"/>
      <c r="F284" s="15"/>
      <c r="G284" s="15"/>
      <c r="H284" s="15"/>
      <c r="I284" s="15"/>
      <c r="J284" s="15"/>
      <c r="K284" s="15"/>
      <c r="L284" s="8"/>
      <c r="M284" s="8"/>
    </row>
    <row r="285" spans="1:13">
      <c r="A285" s="8"/>
      <c r="B285" s="8"/>
      <c r="C285" s="8" t="s">
        <v>10</v>
      </c>
      <c r="D285" s="15">
        <f t="shared" ref="D285:J285" si="44">SUM(D282:D283)</f>
        <v>6623.44</v>
      </c>
      <c r="E285" s="15">
        <f t="shared" si="44"/>
        <v>264.88</v>
      </c>
      <c r="F285" s="15">
        <f t="shared" si="44"/>
        <v>204.74</v>
      </c>
      <c r="G285" s="15">
        <f t="shared" si="44"/>
        <v>110.73</v>
      </c>
      <c r="H285" s="15">
        <f t="shared" si="44"/>
        <v>112.1</v>
      </c>
      <c r="I285" s="15">
        <f t="shared" si="44"/>
        <v>29.669999999999998</v>
      </c>
      <c r="J285" s="15">
        <f t="shared" si="44"/>
        <v>0</v>
      </c>
      <c r="K285" s="15">
        <f>SUM(D285:J285)</f>
        <v>7345.5599999999995</v>
      </c>
      <c r="L285" s="8"/>
      <c r="M285" s="8"/>
    </row>
    <row r="286" spans="1:13">
      <c r="A286" s="8"/>
      <c r="B286" s="8"/>
      <c r="C286" s="8"/>
      <c r="D286" s="15"/>
      <c r="E286" s="15"/>
      <c r="F286" s="15"/>
      <c r="G286" s="15"/>
      <c r="H286" s="15"/>
      <c r="I286" s="15"/>
      <c r="J286" s="15"/>
      <c r="K286" s="15"/>
      <c r="L286" s="8"/>
      <c r="M286" s="8"/>
    </row>
    <row r="287" spans="1:13">
      <c r="A287" s="8"/>
      <c r="B287" s="8"/>
      <c r="C287" s="8"/>
      <c r="D287" s="15"/>
      <c r="E287" s="15"/>
      <c r="F287" s="15"/>
      <c r="G287" s="15"/>
      <c r="H287" s="15"/>
      <c r="I287" s="15"/>
      <c r="J287" s="15"/>
      <c r="K287" s="15"/>
      <c r="L287" s="8"/>
      <c r="M287" s="8"/>
    </row>
    <row r="288" spans="1:13">
      <c r="A288" s="8">
        <v>68</v>
      </c>
      <c r="B288" s="8" t="s">
        <v>63</v>
      </c>
      <c r="C288" s="8" t="s">
        <v>12</v>
      </c>
      <c r="D288" s="15">
        <v>6307.04</v>
      </c>
      <c r="E288" s="15">
        <v>235.17</v>
      </c>
      <c r="F288" s="15">
        <v>14.06</v>
      </c>
      <c r="G288" s="15">
        <v>-0.01</v>
      </c>
      <c r="H288" s="15">
        <v>0.1</v>
      </c>
      <c r="I288" s="15">
        <v>52.96</v>
      </c>
      <c r="J288" s="15"/>
      <c r="K288" s="15">
        <f>SUM(D288:J288)</f>
        <v>6609.3200000000006</v>
      </c>
      <c r="L288" s="8"/>
      <c r="M288" s="8"/>
    </row>
    <row r="289" spans="1:13">
      <c r="A289" s="8"/>
      <c r="B289" s="8"/>
      <c r="C289" s="8" t="s">
        <v>13</v>
      </c>
      <c r="D289" s="15"/>
      <c r="E289" s="15"/>
      <c r="F289" s="15">
        <v>0.77</v>
      </c>
      <c r="G289" s="15">
        <v>0.01</v>
      </c>
      <c r="H289" s="15">
        <v>-0.1</v>
      </c>
      <c r="I289" s="15">
        <v>4.1900000000000004</v>
      </c>
      <c r="J289" s="15"/>
      <c r="K289" s="15">
        <f>SUM(D289:J289)</f>
        <v>4.87</v>
      </c>
      <c r="L289" s="8"/>
      <c r="M289" s="8"/>
    </row>
    <row r="290" spans="1:13">
      <c r="A290" s="8"/>
      <c r="B290" s="8"/>
      <c r="C290" s="8"/>
      <c r="D290" s="15"/>
      <c r="E290" s="15"/>
      <c r="F290" s="15"/>
      <c r="G290" s="15"/>
      <c r="H290" s="15"/>
      <c r="I290" s="15"/>
      <c r="J290" s="15"/>
      <c r="K290" s="15"/>
      <c r="L290" s="8"/>
      <c r="M290" s="8"/>
    </row>
    <row r="291" spans="1:13">
      <c r="A291" s="8"/>
      <c r="B291" s="8"/>
      <c r="C291" s="8" t="s">
        <v>10</v>
      </c>
      <c r="D291" s="15">
        <f t="shared" ref="D291:J291" si="45">SUM(D288:D289)</f>
        <v>6307.04</v>
      </c>
      <c r="E291" s="15">
        <f t="shared" si="45"/>
        <v>235.17</v>
      </c>
      <c r="F291" s="15">
        <f t="shared" si="45"/>
        <v>14.83</v>
      </c>
      <c r="G291" s="15">
        <f t="shared" si="45"/>
        <v>0</v>
      </c>
      <c r="H291" s="15">
        <f t="shared" si="45"/>
        <v>0</v>
      </c>
      <c r="I291" s="15">
        <f t="shared" si="45"/>
        <v>57.15</v>
      </c>
      <c r="J291" s="15">
        <f t="shared" si="45"/>
        <v>0</v>
      </c>
      <c r="K291" s="15">
        <f>SUM(D291:J291)</f>
        <v>6614.19</v>
      </c>
      <c r="L291" s="8"/>
      <c r="M291" s="8"/>
    </row>
    <row r="292" spans="1:13">
      <c r="A292" s="8"/>
      <c r="B292" s="8"/>
      <c r="C292" s="8"/>
      <c r="D292" s="15"/>
      <c r="E292" s="15"/>
      <c r="F292" s="15"/>
      <c r="G292" s="15"/>
      <c r="H292" s="15"/>
      <c r="I292" s="15"/>
      <c r="J292" s="15"/>
      <c r="K292" s="15"/>
      <c r="L292" s="8"/>
      <c r="M292" s="8"/>
    </row>
    <row r="293" spans="1:13">
      <c r="A293" s="8"/>
      <c r="B293" s="8"/>
      <c r="C293" s="8"/>
      <c r="D293" s="15"/>
      <c r="E293" s="15"/>
      <c r="F293" s="15"/>
      <c r="G293" s="15"/>
      <c r="H293" s="15"/>
      <c r="I293" s="15"/>
      <c r="J293" s="15"/>
      <c r="K293" s="15"/>
      <c r="L293" s="8"/>
      <c r="M293" s="8"/>
    </row>
    <row r="294" spans="1:13">
      <c r="A294" s="8">
        <v>69</v>
      </c>
      <c r="B294" s="8" t="s">
        <v>64</v>
      </c>
      <c r="C294" s="8" t="s">
        <v>12</v>
      </c>
      <c r="D294" s="15">
        <v>7907.69</v>
      </c>
      <c r="E294" s="15">
        <v>90.02</v>
      </c>
      <c r="F294" s="15">
        <v>34.5</v>
      </c>
      <c r="G294" s="15">
        <v>24.74</v>
      </c>
      <c r="H294" s="15">
        <v>20.14</v>
      </c>
      <c r="I294" s="15">
        <v>29.91</v>
      </c>
      <c r="J294" s="15"/>
      <c r="K294" s="15">
        <f>SUM(D294:J294)</f>
        <v>8107</v>
      </c>
      <c r="L294" s="8"/>
      <c r="M294" s="8"/>
    </row>
    <row r="295" spans="1:13">
      <c r="A295" s="8"/>
      <c r="B295" s="8"/>
      <c r="C295" s="8" t="s">
        <v>13</v>
      </c>
      <c r="D295" s="15"/>
      <c r="E295" s="15"/>
      <c r="F295" s="15"/>
      <c r="G295" s="15"/>
      <c r="H295" s="15"/>
      <c r="I295" s="15"/>
      <c r="J295" s="15"/>
      <c r="K295" s="15"/>
      <c r="L295" s="8"/>
      <c r="M295" s="8"/>
    </row>
    <row r="296" spans="1:13">
      <c r="A296" s="8"/>
      <c r="B296" s="8"/>
      <c r="C296" s="8"/>
      <c r="D296" s="15"/>
      <c r="E296" s="15"/>
      <c r="F296" s="15"/>
      <c r="G296" s="15"/>
      <c r="H296" s="15"/>
      <c r="I296" s="15"/>
      <c r="J296" s="15"/>
      <c r="K296" s="15"/>
      <c r="L296" s="8"/>
      <c r="M296" s="8"/>
    </row>
    <row r="297" spans="1:13">
      <c r="A297" s="8"/>
      <c r="B297" s="8"/>
      <c r="C297" s="8" t="s">
        <v>10</v>
      </c>
      <c r="D297" s="15">
        <f t="shared" ref="D297:J297" si="46">SUM(D294:D295)</f>
        <v>7907.69</v>
      </c>
      <c r="E297" s="15">
        <f t="shared" si="46"/>
        <v>90.02</v>
      </c>
      <c r="F297" s="15">
        <f t="shared" si="46"/>
        <v>34.5</v>
      </c>
      <c r="G297" s="15">
        <f t="shared" si="46"/>
        <v>24.74</v>
      </c>
      <c r="H297" s="15">
        <f t="shared" si="46"/>
        <v>20.14</v>
      </c>
      <c r="I297" s="15">
        <f t="shared" si="46"/>
        <v>29.91</v>
      </c>
      <c r="J297" s="15">
        <f t="shared" si="46"/>
        <v>0</v>
      </c>
      <c r="K297" s="15">
        <f>SUM(D297:J297)</f>
        <v>8107</v>
      </c>
      <c r="L297" s="8"/>
      <c r="M297" s="8"/>
    </row>
    <row r="298" spans="1:13">
      <c r="A298" s="8"/>
      <c r="B298" s="8"/>
      <c r="C298" s="8"/>
      <c r="D298" s="15"/>
      <c r="E298" s="15"/>
      <c r="F298" s="15"/>
      <c r="G298" s="15"/>
      <c r="H298" s="15"/>
      <c r="I298" s="15"/>
      <c r="J298" s="15"/>
      <c r="K298" s="15"/>
      <c r="L298" s="8"/>
      <c r="M298" s="8"/>
    </row>
    <row r="299" spans="1:13">
      <c r="A299" s="8"/>
      <c r="B299" s="8"/>
      <c r="C299" s="8"/>
      <c r="D299" s="15"/>
      <c r="E299" s="15"/>
      <c r="F299" s="15"/>
      <c r="G299" s="15"/>
      <c r="H299" s="15"/>
      <c r="I299" s="15"/>
      <c r="J299" s="15"/>
      <c r="K299" s="15"/>
      <c r="L299" s="8"/>
      <c r="M299" s="8"/>
    </row>
    <row r="300" spans="1:13">
      <c r="A300" s="8">
        <v>70</v>
      </c>
      <c r="B300" s="8" t="s">
        <v>65</v>
      </c>
      <c r="C300" s="8" t="s">
        <v>12</v>
      </c>
      <c r="D300" s="15">
        <v>8478.73</v>
      </c>
      <c r="E300" s="15">
        <v>349.7</v>
      </c>
      <c r="F300" s="15">
        <v>218.53</v>
      </c>
      <c r="G300" s="15">
        <v>39.67</v>
      </c>
      <c r="H300" s="15">
        <v>38.880000000000003</v>
      </c>
      <c r="I300" s="15"/>
      <c r="J300" s="15"/>
      <c r="K300" s="15">
        <f>SUM(D300:J300)</f>
        <v>9125.51</v>
      </c>
      <c r="L300" s="8"/>
      <c r="M300" s="8"/>
    </row>
    <row r="301" spans="1:13">
      <c r="A301" s="8"/>
      <c r="B301" s="8"/>
      <c r="C301" s="8" t="s">
        <v>87</v>
      </c>
      <c r="D301" s="15"/>
      <c r="E301" s="15"/>
      <c r="F301" s="15">
        <v>7.22</v>
      </c>
      <c r="G301" s="15"/>
      <c r="H301" s="15"/>
      <c r="I301" s="15"/>
      <c r="J301" s="15"/>
      <c r="K301" s="15">
        <f>SUM(D301:J301)</f>
        <v>7.22</v>
      </c>
      <c r="L301" s="8"/>
      <c r="M301" s="8"/>
    </row>
    <row r="302" spans="1:13">
      <c r="A302" s="8"/>
      <c r="B302" s="8"/>
      <c r="C302" s="8"/>
      <c r="D302" s="15"/>
      <c r="E302" s="15"/>
      <c r="F302" s="15"/>
      <c r="G302" s="15"/>
      <c r="H302" s="15"/>
      <c r="I302" s="15"/>
      <c r="J302" s="15"/>
      <c r="K302" s="15"/>
      <c r="L302" s="8"/>
      <c r="M302" s="8"/>
    </row>
    <row r="303" spans="1:13">
      <c r="A303" s="8"/>
      <c r="B303" s="8"/>
      <c r="C303" s="8" t="s">
        <v>10</v>
      </c>
      <c r="D303" s="15">
        <f t="shared" ref="D303:J303" si="47">SUM(D300:D302)</f>
        <v>8478.73</v>
      </c>
      <c r="E303" s="15">
        <f t="shared" si="47"/>
        <v>349.7</v>
      </c>
      <c r="F303" s="15">
        <f t="shared" si="47"/>
        <v>225.75</v>
      </c>
      <c r="G303" s="15">
        <f t="shared" si="47"/>
        <v>39.67</v>
      </c>
      <c r="H303" s="15">
        <f t="shared" si="47"/>
        <v>38.880000000000003</v>
      </c>
      <c r="I303" s="15">
        <f t="shared" si="47"/>
        <v>0</v>
      </c>
      <c r="J303" s="15">
        <f t="shared" si="47"/>
        <v>0</v>
      </c>
      <c r="K303" s="15">
        <f>SUM(D303:J303)</f>
        <v>9132.73</v>
      </c>
      <c r="L303" s="8"/>
      <c r="M303" s="8"/>
    </row>
    <row r="304" spans="1:13">
      <c r="A304" s="8"/>
      <c r="B304" s="8"/>
      <c r="C304" s="8"/>
      <c r="D304" s="15"/>
      <c r="E304" s="15"/>
      <c r="F304" s="15"/>
      <c r="G304" s="15"/>
      <c r="H304" s="15"/>
      <c r="I304" s="15"/>
      <c r="J304" s="15"/>
      <c r="K304" s="15"/>
      <c r="L304" s="8"/>
      <c r="M304" s="8"/>
    </row>
    <row r="305" spans="1:13">
      <c r="A305" s="8"/>
      <c r="B305" s="8"/>
      <c r="C305" s="8" t="s">
        <v>66</v>
      </c>
      <c r="D305" s="15">
        <f t="shared" ref="D305:J305" si="48">SUM(D9:D303)/2</f>
        <v>490078.4099999998</v>
      </c>
      <c r="E305" s="15">
        <f t="shared" si="48"/>
        <v>17099.369999999992</v>
      </c>
      <c r="F305" s="15">
        <f t="shared" si="48"/>
        <v>7683.5299999999979</v>
      </c>
      <c r="G305" s="15">
        <f t="shared" si="48"/>
        <v>3306.6299999999992</v>
      </c>
      <c r="H305" s="15">
        <f t="shared" si="48"/>
        <v>1579.95</v>
      </c>
      <c r="I305" s="15">
        <f t="shared" si="48"/>
        <v>198.70000000000002</v>
      </c>
      <c r="J305" s="15">
        <f t="shared" si="48"/>
        <v>79.55</v>
      </c>
      <c r="K305" s="15">
        <f>SUM(D305:J305)</f>
        <v>520026.13999999978</v>
      </c>
      <c r="L305" s="8"/>
      <c r="M305" s="8"/>
    </row>
    <row r="306" spans="1:13">
      <c r="A306" s="8"/>
      <c r="B306" s="8"/>
      <c r="C306" s="8"/>
      <c r="D306" s="15"/>
      <c r="E306" s="8">
        <f>487402.64-E305</f>
        <v>470303.27</v>
      </c>
      <c r="F306" s="8"/>
      <c r="G306" s="8"/>
      <c r="H306" s="8"/>
      <c r="I306" s="8"/>
      <c r="J306" s="8"/>
      <c r="K306" s="15">
        <f>SUM(D306:J306)</f>
        <v>470303.27</v>
      </c>
      <c r="L306" s="8"/>
      <c r="M306" s="8"/>
    </row>
    <row r="307" spans="1:1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15"/>
      <c r="L307" s="8"/>
      <c r="M307" s="8"/>
    </row>
  </sheetData>
  <phoneticPr fontId="0" type="noConversion"/>
  <pageMargins left="0.25" right="0.25" top="0.25" bottom="0.25" header="0.5" footer="0.5"/>
  <pageSetup orientation="landscape" r:id="rId1"/>
  <headerFooter alignWithMargins="0"/>
  <rowBreaks count="51" manualBreakCount="51">
    <brk id="7" max="65535" man="1"/>
    <brk id="12" max="65535" man="1"/>
    <brk id="18" max="65535" man="1"/>
    <brk id="24" max="65535" man="1"/>
    <brk id="30" max="65535" man="1"/>
    <brk id="36" max="65535" man="1"/>
    <brk id="43" max="65535" man="1"/>
    <brk id="49" max="65535" man="1"/>
    <brk id="56" max="65535" man="1"/>
    <brk id="62" max="65535" man="1"/>
    <brk id="68" max="65535" man="1"/>
    <brk id="75" max="65535" man="1"/>
    <brk id="82" max="65535" man="1"/>
    <brk id="89" max="65535" man="1"/>
    <brk id="94" max="65535" man="1"/>
    <brk id="100" max="65535" man="1"/>
    <brk id="105" max="65535" man="1"/>
    <brk id="111" max="65535" man="1"/>
    <brk id="118" max="65535" man="1"/>
    <brk id="122" max="65535" man="1"/>
    <brk id="128" max="65535" man="1"/>
    <brk id="134" max="65535" man="1"/>
    <brk id="141" max="65535" man="1"/>
    <brk id="147" max="65535" man="1"/>
    <brk id="152" max="65535" man="1"/>
    <brk id="157" max="65535" man="1"/>
    <brk id="163" max="65535" man="1"/>
    <brk id="168" max="65535" man="1"/>
    <brk id="173" max="65535" man="1"/>
    <brk id="179" max="65535" man="1"/>
    <brk id="186" max="65535" man="1"/>
    <brk id="192" max="65535" man="1"/>
    <brk id="198" max="65535" man="1"/>
    <brk id="203" max="65535" man="1"/>
    <brk id="209" max="65535" man="1"/>
    <brk id="215" max="65535" man="1"/>
    <brk id="221" max="65535" man="1"/>
    <brk id="227" max="65535" man="1"/>
    <brk id="233" max="65535" man="1"/>
    <brk id="238" max="65535" man="1"/>
    <brk id="244" max="65535" man="1"/>
    <brk id="250" max="65535" man="1"/>
    <brk id="256" max="65535" man="1"/>
    <brk id="261" max="65535" man="1"/>
    <brk id="267" max="65535" man="1"/>
    <brk id="274" max="65535" man="1"/>
    <brk id="280" max="65535" man="1"/>
    <brk id="286" max="65535" man="1"/>
    <brk id="291" max="65535" man="1"/>
    <brk id="298" max="65535" man="1"/>
    <brk id="303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1:L307"/>
  <sheetViews>
    <sheetView showOutlineSymbols="0" defaultGridColor="0" view="pageBreakPreview" colorId="23" zoomScale="60" zoomScaleNormal="75" workbookViewId="0">
      <selection activeCell="G10" sqref="G10"/>
    </sheetView>
  </sheetViews>
  <sheetFormatPr defaultColWidth="9.6640625" defaultRowHeight="15"/>
  <cols>
    <col min="1" max="1" width="9.6640625" style="10" customWidth="1"/>
    <col min="2" max="2" width="27.44140625" style="10" bestFit="1" customWidth="1"/>
    <col min="3" max="3" width="24.44140625" style="10" bestFit="1" customWidth="1"/>
    <col min="4" max="4" width="12.77734375" style="10" customWidth="1"/>
    <col min="5" max="5" width="12.6640625" style="10" customWidth="1"/>
    <col min="6" max="7" width="11.6640625" style="10" customWidth="1"/>
    <col min="8" max="9" width="9.6640625" style="10" customWidth="1"/>
    <col min="10" max="10" width="12.6640625" style="23" customWidth="1"/>
    <col min="11" max="16384" width="9.6640625" style="10"/>
  </cols>
  <sheetData>
    <row r="1" spans="1:12">
      <c r="A1" s="8"/>
      <c r="B1" s="8"/>
      <c r="C1" s="8"/>
      <c r="D1" s="8"/>
      <c r="E1" s="8"/>
      <c r="F1" s="8"/>
      <c r="G1" s="8"/>
      <c r="H1" s="9"/>
      <c r="I1" s="9"/>
      <c r="J1" s="20"/>
      <c r="K1" s="8"/>
      <c r="L1" s="8" t="s">
        <v>82</v>
      </c>
    </row>
    <row r="2" spans="1:12">
      <c r="A2" s="8"/>
      <c r="B2" s="8"/>
      <c r="C2" s="8"/>
      <c r="D2" s="8"/>
      <c r="E2" s="8"/>
      <c r="F2" s="8"/>
      <c r="G2" s="8"/>
      <c r="H2" s="8"/>
      <c r="I2" s="8"/>
      <c r="J2" s="20"/>
      <c r="K2" s="8"/>
      <c r="L2" s="8"/>
    </row>
    <row r="3" spans="1:12">
      <c r="A3" s="8"/>
      <c r="B3" s="8" t="s">
        <v>92</v>
      </c>
      <c r="C3" s="8"/>
      <c r="D3" s="8"/>
      <c r="E3" s="8"/>
      <c r="F3" s="8"/>
      <c r="G3" s="8"/>
      <c r="H3" s="8"/>
      <c r="I3" s="8"/>
      <c r="J3" s="20"/>
      <c r="K3" s="8"/>
      <c r="L3" s="8"/>
    </row>
    <row r="4" spans="1:12" ht="15.75">
      <c r="A4" s="8"/>
      <c r="B4" s="11" t="s">
        <v>1</v>
      </c>
      <c r="C4" s="9"/>
      <c r="D4" s="9"/>
      <c r="E4" s="9"/>
      <c r="F4" s="9"/>
      <c r="G4" s="9"/>
      <c r="H4" s="9"/>
      <c r="I4" s="9"/>
      <c r="J4" s="21"/>
      <c r="K4" s="8"/>
      <c r="L4" s="8"/>
    </row>
    <row r="5" spans="1:12" ht="15.75">
      <c r="A5" s="8"/>
      <c r="B5" s="11" t="s">
        <v>91</v>
      </c>
      <c r="C5" s="9"/>
      <c r="D5" s="9"/>
      <c r="E5" s="9"/>
      <c r="F5" s="9"/>
      <c r="G5" s="9"/>
      <c r="H5" s="9"/>
      <c r="I5" s="9"/>
      <c r="J5" s="21"/>
      <c r="K5" s="8"/>
      <c r="L5" s="8"/>
    </row>
    <row r="6" spans="1:12">
      <c r="A6" s="8"/>
      <c r="B6" s="8"/>
      <c r="C6" s="8"/>
      <c r="D6" s="8"/>
      <c r="E6" s="8"/>
      <c r="F6" s="8"/>
      <c r="G6" s="8"/>
      <c r="H6" s="8"/>
      <c r="I6" s="8"/>
      <c r="J6" s="20"/>
      <c r="K6" s="8"/>
      <c r="L6" s="8"/>
    </row>
    <row r="7" spans="1:12">
      <c r="A7" s="8"/>
      <c r="B7" s="12" t="s">
        <v>3</v>
      </c>
      <c r="C7" s="12" t="s">
        <v>4</v>
      </c>
      <c r="D7" s="14">
        <v>2000</v>
      </c>
      <c r="E7" s="13">
        <v>1999</v>
      </c>
      <c r="F7" s="13">
        <v>1998</v>
      </c>
      <c r="G7" s="13">
        <v>1997</v>
      </c>
      <c r="H7" s="14">
        <v>1996</v>
      </c>
      <c r="I7" s="13">
        <v>1995</v>
      </c>
      <c r="J7" s="22" t="s">
        <v>10</v>
      </c>
      <c r="K7" s="8"/>
      <c r="L7" s="8"/>
    </row>
    <row r="8" spans="1:12">
      <c r="A8" s="8"/>
      <c r="B8" s="8"/>
      <c r="C8" s="8"/>
      <c r="D8" s="8"/>
      <c r="E8" s="8"/>
      <c r="F8" s="8"/>
      <c r="G8" s="8"/>
      <c r="H8" s="8"/>
      <c r="I8" s="8"/>
      <c r="J8" s="20"/>
      <c r="K8" s="8"/>
      <c r="L8" s="8"/>
    </row>
    <row r="9" spans="1:12">
      <c r="A9" s="8">
        <v>21</v>
      </c>
      <c r="B9" s="8" t="s">
        <v>11</v>
      </c>
      <c r="C9" s="8" t="s">
        <v>12</v>
      </c>
      <c r="D9" s="8">
        <v>8099.91</v>
      </c>
      <c r="E9" s="15">
        <v>151.94999999999999</v>
      </c>
      <c r="F9" s="15">
        <v>109.52</v>
      </c>
      <c r="G9" s="15">
        <v>0</v>
      </c>
      <c r="H9" s="15">
        <v>0</v>
      </c>
      <c r="I9" s="15">
        <v>0</v>
      </c>
      <c r="J9" s="20">
        <f>SUM(D9:I9)</f>
        <v>8361.380000000001</v>
      </c>
      <c r="K9" s="8"/>
      <c r="L9" s="8"/>
    </row>
    <row r="10" spans="1:12" ht="15.75" thickBot="1">
      <c r="A10" s="8"/>
      <c r="B10" s="8"/>
      <c r="C10" s="8" t="s">
        <v>13</v>
      </c>
      <c r="D10" s="27">
        <v>255.72</v>
      </c>
      <c r="E10" s="28">
        <v>4.93</v>
      </c>
      <c r="F10" s="28">
        <v>3.74</v>
      </c>
      <c r="G10" s="28">
        <v>0</v>
      </c>
      <c r="H10" s="28">
        <v>0</v>
      </c>
      <c r="I10" s="28">
        <v>0</v>
      </c>
      <c r="J10" s="29">
        <f>SUM(D10:I10)</f>
        <v>264.39</v>
      </c>
      <c r="K10" s="8"/>
      <c r="L10" s="8"/>
    </row>
    <row r="11" spans="1:12">
      <c r="A11" s="8"/>
      <c r="B11" s="8"/>
      <c r="C11" s="8"/>
      <c r="D11" s="8"/>
      <c r="E11" s="15"/>
      <c r="F11" s="15"/>
      <c r="G11" s="15"/>
      <c r="H11" s="15"/>
      <c r="I11" s="15"/>
      <c r="J11" s="20"/>
      <c r="K11" s="8"/>
      <c r="L11" s="8"/>
    </row>
    <row r="12" spans="1:12" ht="15.75" thickBot="1">
      <c r="A12" s="8"/>
      <c r="B12" s="8"/>
      <c r="C12" s="8" t="s">
        <v>10</v>
      </c>
      <c r="D12" s="30">
        <f t="shared" ref="D12:I12" si="0">SUM(D9:D10)</f>
        <v>8355.6299999999992</v>
      </c>
      <c r="E12" s="30">
        <f t="shared" si="0"/>
        <v>156.88</v>
      </c>
      <c r="F12" s="30">
        <f t="shared" si="0"/>
        <v>113.25999999999999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>SUM(D12:I12)</f>
        <v>8625.7699999999986</v>
      </c>
      <c r="K12" s="8"/>
      <c r="L12" s="8"/>
    </row>
    <row r="13" spans="1:12" ht="15.75" thickTop="1">
      <c r="A13" s="8"/>
      <c r="B13" s="8"/>
      <c r="C13" s="8"/>
      <c r="D13" s="8"/>
      <c r="E13" s="15"/>
      <c r="F13" s="8"/>
      <c r="G13" s="8"/>
      <c r="H13" s="8"/>
      <c r="I13" s="8"/>
      <c r="J13" s="20"/>
      <c r="K13" s="8"/>
      <c r="L13" s="8"/>
    </row>
    <row r="14" spans="1:12">
      <c r="A14" s="8">
        <v>22</v>
      </c>
      <c r="B14" s="8" t="s">
        <v>15</v>
      </c>
      <c r="C14" s="8" t="s">
        <v>12</v>
      </c>
      <c r="D14" s="8">
        <v>9250.15</v>
      </c>
      <c r="E14" s="15">
        <v>305.32</v>
      </c>
      <c r="F14" s="15">
        <v>18.63</v>
      </c>
      <c r="G14" s="15">
        <v>18.940000000000001</v>
      </c>
      <c r="H14" s="15">
        <v>0</v>
      </c>
      <c r="I14" s="15">
        <v>0</v>
      </c>
      <c r="J14" s="20">
        <f>SUM(D14:I14)</f>
        <v>9593.0399999999991</v>
      </c>
      <c r="K14" s="8"/>
      <c r="L14" s="8"/>
    </row>
    <row r="15" spans="1:12" ht="15.75" thickBot="1">
      <c r="A15" s="8"/>
      <c r="B15" s="8"/>
      <c r="C15" s="8" t="s">
        <v>13</v>
      </c>
      <c r="D15" s="27">
        <v>583.85</v>
      </c>
      <c r="E15" s="28">
        <v>24.45</v>
      </c>
      <c r="F15" s="28">
        <v>1.45</v>
      </c>
      <c r="G15" s="28">
        <v>1.43</v>
      </c>
      <c r="H15" s="28">
        <v>0</v>
      </c>
      <c r="I15" s="28">
        <v>0</v>
      </c>
      <c r="J15" s="29">
        <f>SUM(D15:I15)</f>
        <v>611.18000000000006</v>
      </c>
      <c r="K15" s="8"/>
      <c r="L15" s="8"/>
    </row>
    <row r="16" spans="1:12">
      <c r="A16" s="8"/>
      <c r="B16" s="8"/>
      <c r="C16" s="8"/>
      <c r="D16" s="8"/>
      <c r="E16" s="15"/>
      <c r="F16" s="15"/>
      <c r="G16" s="15"/>
      <c r="H16" s="15"/>
      <c r="I16" s="15"/>
      <c r="J16" s="20"/>
      <c r="K16" s="8"/>
      <c r="L16" s="8"/>
    </row>
    <row r="17" spans="1:12" ht="15.75" thickBot="1">
      <c r="A17" s="8"/>
      <c r="B17" s="8"/>
      <c r="C17" s="8" t="s">
        <v>10</v>
      </c>
      <c r="D17" s="30">
        <f t="shared" ref="D17:I17" si="1">SUM(D14:D15)</f>
        <v>9834</v>
      </c>
      <c r="E17" s="30">
        <f t="shared" si="1"/>
        <v>329.77</v>
      </c>
      <c r="F17" s="30">
        <f t="shared" si="1"/>
        <v>20.079999999999998</v>
      </c>
      <c r="G17" s="30">
        <f t="shared" si="1"/>
        <v>20.37</v>
      </c>
      <c r="H17" s="30">
        <f t="shared" si="1"/>
        <v>0</v>
      </c>
      <c r="I17" s="30">
        <f t="shared" si="1"/>
        <v>0</v>
      </c>
      <c r="J17" s="31">
        <f>SUM(D17:I17)</f>
        <v>10204.220000000001</v>
      </c>
      <c r="K17" s="8"/>
      <c r="L17" s="8"/>
    </row>
    <row r="18" spans="1:12" ht="15.75" thickTop="1">
      <c r="A18" s="8"/>
      <c r="B18" s="8"/>
      <c r="C18" s="8"/>
      <c r="D18" s="8"/>
      <c r="E18" s="15"/>
      <c r="F18" s="15"/>
      <c r="G18" s="15"/>
      <c r="H18" s="15"/>
      <c r="I18" s="15"/>
      <c r="J18" s="20"/>
      <c r="K18" s="8"/>
      <c r="L18" s="8"/>
    </row>
    <row r="19" spans="1:12">
      <c r="A19" s="8">
        <v>23</v>
      </c>
      <c r="B19" s="8" t="s">
        <v>16</v>
      </c>
      <c r="C19" s="8" t="s">
        <v>12</v>
      </c>
      <c r="D19" s="8">
        <v>8393.34</v>
      </c>
      <c r="E19" s="15">
        <v>649.51</v>
      </c>
      <c r="F19" s="15">
        <v>132.94</v>
      </c>
      <c r="G19" s="15">
        <v>0</v>
      </c>
      <c r="H19" s="15">
        <v>0</v>
      </c>
      <c r="I19" s="15">
        <v>0</v>
      </c>
      <c r="J19" s="20">
        <f>SUM(D19:I19)</f>
        <v>9175.7900000000009</v>
      </c>
      <c r="K19" s="8"/>
      <c r="L19" s="8"/>
    </row>
    <row r="20" spans="1:12" ht="15.75" thickBot="1">
      <c r="A20" s="8"/>
      <c r="B20" s="8"/>
      <c r="C20" s="8" t="s">
        <v>13</v>
      </c>
      <c r="D20" s="33">
        <v>0</v>
      </c>
      <c r="E20" s="28">
        <v>0</v>
      </c>
      <c r="F20" s="28">
        <v>4.6100000000000003</v>
      </c>
      <c r="G20" s="28">
        <v>0</v>
      </c>
      <c r="H20" s="28">
        <v>0</v>
      </c>
      <c r="I20" s="28">
        <v>0</v>
      </c>
      <c r="J20" s="29">
        <f>SUM(D20:I20)</f>
        <v>4.6100000000000003</v>
      </c>
      <c r="K20" s="8"/>
      <c r="L20" s="8"/>
    </row>
    <row r="21" spans="1:12">
      <c r="A21" s="8"/>
      <c r="B21" s="8"/>
      <c r="C21" s="8"/>
      <c r="D21" s="8"/>
      <c r="E21" s="15"/>
      <c r="F21" s="15"/>
      <c r="G21" s="15"/>
      <c r="H21" s="15"/>
      <c r="I21" s="15"/>
      <c r="J21" s="20"/>
      <c r="K21" s="8"/>
      <c r="L21" s="8"/>
    </row>
    <row r="22" spans="1:12" ht="15.75" thickBot="1">
      <c r="A22" s="8"/>
      <c r="B22" s="8"/>
      <c r="C22" s="8" t="s">
        <v>10</v>
      </c>
      <c r="D22" s="30">
        <f t="shared" ref="D22:I22" si="2">SUM(D19:D20)</f>
        <v>8393.34</v>
      </c>
      <c r="E22" s="30">
        <f t="shared" si="2"/>
        <v>649.51</v>
      </c>
      <c r="F22" s="30">
        <f t="shared" si="2"/>
        <v>137.55000000000001</v>
      </c>
      <c r="G22" s="30">
        <f t="shared" si="2"/>
        <v>0</v>
      </c>
      <c r="H22" s="30">
        <f t="shared" si="2"/>
        <v>0</v>
      </c>
      <c r="I22" s="30">
        <f t="shared" si="2"/>
        <v>0</v>
      </c>
      <c r="J22" s="31">
        <f>SUM(D22:I22)</f>
        <v>9180.4</v>
      </c>
      <c r="K22" s="8"/>
      <c r="L22" s="8"/>
    </row>
    <row r="23" spans="1:12" ht="15.75" thickTop="1">
      <c r="A23" s="8"/>
      <c r="B23" s="8"/>
      <c r="C23" s="8"/>
      <c r="D23" s="8"/>
      <c r="E23" s="15"/>
      <c r="F23" s="15"/>
      <c r="G23" s="15"/>
      <c r="H23" s="15"/>
      <c r="I23" s="15"/>
      <c r="J23" s="20"/>
      <c r="K23" s="8"/>
      <c r="L23" s="8"/>
    </row>
    <row r="24" spans="1:12">
      <c r="A24" s="8"/>
      <c r="B24" s="8"/>
      <c r="C24" s="8"/>
      <c r="D24" s="8"/>
      <c r="E24" s="15"/>
      <c r="F24" s="8"/>
      <c r="G24" s="8"/>
      <c r="H24" s="8"/>
      <c r="I24" s="8"/>
      <c r="J24" s="20"/>
      <c r="K24" s="8"/>
      <c r="L24" s="8"/>
    </row>
    <row r="25" spans="1:12">
      <c r="A25" s="8"/>
      <c r="B25" s="8"/>
      <c r="C25" s="8"/>
      <c r="D25" s="8"/>
      <c r="E25" s="15"/>
      <c r="F25" s="15"/>
      <c r="G25" s="15"/>
      <c r="H25" s="15"/>
      <c r="I25" s="15"/>
      <c r="J25" s="20"/>
      <c r="K25" s="8"/>
      <c r="L25" s="8"/>
    </row>
    <row r="26" spans="1:12" ht="15.75" thickBot="1">
      <c r="A26" s="8">
        <v>24</v>
      </c>
      <c r="B26" s="8" t="s">
        <v>17</v>
      </c>
      <c r="C26" s="8" t="s">
        <v>12</v>
      </c>
      <c r="D26" s="27">
        <v>5222.6899999999996</v>
      </c>
      <c r="E26" s="28">
        <v>29.16</v>
      </c>
      <c r="F26" s="28">
        <v>0</v>
      </c>
      <c r="G26" s="28">
        <v>0</v>
      </c>
      <c r="H26" s="28">
        <v>0</v>
      </c>
      <c r="I26" s="28">
        <v>0</v>
      </c>
      <c r="J26" s="29">
        <f>SUM(D26:I26)</f>
        <v>5251.8499999999995</v>
      </c>
      <c r="K26" s="8"/>
      <c r="L26" s="8"/>
    </row>
    <row r="27" spans="1:12">
      <c r="A27" s="8"/>
      <c r="B27" s="8"/>
      <c r="C27" s="8"/>
      <c r="D27" s="8"/>
      <c r="E27" s="24"/>
      <c r="F27" s="24"/>
      <c r="G27" s="24"/>
      <c r="H27" s="24"/>
      <c r="I27" s="24"/>
      <c r="J27" s="25"/>
      <c r="K27" s="8"/>
      <c r="L27" s="8"/>
    </row>
    <row r="28" spans="1:12" ht="15.75" thickBot="1">
      <c r="A28" s="8"/>
      <c r="B28" s="8"/>
      <c r="C28" s="8" t="s">
        <v>10</v>
      </c>
      <c r="D28" s="30">
        <f t="shared" ref="D28:I28" si="3">SUM(D26:D27)</f>
        <v>5222.6899999999996</v>
      </c>
      <c r="E28" s="30">
        <f t="shared" si="3"/>
        <v>29.16</v>
      </c>
      <c r="F28" s="30">
        <f t="shared" si="3"/>
        <v>0</v>
      </c>
      <c r="G28" s="30">
        <f t="shared" si="3"/>
        <v>0</v>
      </c>
      <c r="H28" s="30">
        <f t="shared" si="3"/>
        <v>0</v>
      </c>
      <c r="I28" s="30">
        <f t="shared" si="3"/>
        <v>0</v>
      </c>
      <c r="J28" s="31">
        <f>SUM(D28:I28)</f>
        <v>5251.8499999999995</v>
      </c>
      <c r="K28" s="8"/>
      <c r="L28" s="8"/>
    </row>
    <row r="29" spans="1:12" ht="15.75" thickTop="1">
      <c r="A29" s="8"/>
      <c r="B29" s="8"/>
      <c r="C29" s="8"/>
      <c r="D29" s="8"/>
      <c r="E29" s="15"/>
      <c r="F29" s="15"/>
      <c r="G29" s="15"/>
      <c r="H29" s="15"/>
      <c r="I29" s="15"/>
      <c r="J29" s="20"/>
      <c r="K29" s="8"/>
      <c r="L29" s="8"/>
    </row>
    <row r="30" spans="1:12">
      <c r="A30" s="8"/>
      <c r="B30" s="8"/>
      <c r="C30" s="8"/>
      <c r="D30" s="8"/>
      <c r="E30" s="15"/>
      <c r="F30" s="8"/>
      <c r="G30" s="8"/>
      <c r="H30" s="8"/>
      <c r="I30" s="8"/>
      <c r="J30" s="20"/>
      <c r="K30" s="8"/>
      <c r="L30" s="8"/>
    </row>
    <row r="31" spans="1:12">
      <c r="A31" s="8"/>
      <c r="B31" s="8"/>
      <c r="C31" s="8"/>
      <c r="D31" s="8"/>
      <c r="E31" s="15"/>
      <c r="F31" s="15"/>
      <c r="G31" s="15"/>
      <c r="H31" s="15"/>
      <c r="I31" s="15"/>
      <c r="J31" s="20"/>
      <c r="K31" s="8"/>
      <c r="L31" s="8"/>
    </row>
    <row r="32" spans="1:12" ht="15.75" thickBot="1">
      <c r="A32" s="8">
        <v>25</v>
      </c>
      <c r="B32" s="8" t="s">
        <v>18</v>
      </c>
      <c r="C32" s="8" t="s">
        <v>12</v>
      </c>
      <c r="D32" s="27">
        <v>21719.74</v>
      </c>
      <c r="E32" s="28">
        <v>1591.51</v>
      </c>
      <c r="F32" s="28">
        <v>548.72</v>
      </c>
      <c r="G32" s="28">
        <v>0</v>
      </c>
      <c r="H32" s="28">
        <v>0</v>
      </c>
      <c r="I32" s="28">
        <v>0</v>
      </c>
      <c r="J32" s="29">
        <f>SUM(D32:I32)</f>
        <v>23859.97</v>
      </c>
      <c r="K32" s="8"/>
      <c r="L32" s="8"/>
    </row>
    <row r="33" spans="1:12">
      <c r="A33" s="8"/>
      <c r="B33" s="8"/>
      <c r="C33" s="8"/>
      <c r="D33" s="8"/>
      <c r="E33" s="24"/>
      <c r="F33" s="24"/>
      <c r="G33" s="24"/>
      <c r="H33" s="24"/>
      <c r="I33" s="24"/>
      <c r="J33" s="25"/>
      <c r="K33" s="8"/>
      <c r="L33" s="8"/>
    </row>
    <row r="34" spans="1:12" ht="15.75" thickBot="1">
      <c r="A34" s="8"/>
      <c r="B34" s="8"/>
      <c r="C34" s="8" t="s">
        <v>10</v>
      </c>
      <c r="D34" s="30">
        <f t="shared" ref="D34:I34" si="4">SUM(D32:D33)</f>
        <v>21719.74</v>
      </c>
      <c r="E34" s="30">
        <f t="shared" si="4"/>
        <v>1591.51</v>
      </c>
      <c r="F34" s="30">
        <f t="shared" si="4"/>
        <v>548.72</v>
      </c>
      <c r="G34" s="30">
        <f t="shared" si="4"/>
        <v>0</v>
      </c>
      <c r="H34" s="30">
        <f t="shared" si="4"/>
        <v>0</v>
      </c>
      <c r="I34" s="30">
        <f t="shared" si="4"/>
        <v>0</v>
      </c>
      <c r="J34" s="31">
        <f>SUM(D34:I34)</f>
        <v>23859.97</v>
      </c>
      <c r="K34" s="8"/>
      <c r="L34" s="8"/>
    </row>
    <row r="35" spans="1:12" ht="15.75" thickTop="1">
      <c r="A35" s="8"/>
      <c r="B35" s="8"/>
      <c r="C35" s="8"/>
      <c r="D35" s="8"/>
      <c r="E35" s="15"/>
      <c r="F35" s="8"/>
      <c r="G35" s="8"/>
      <c r="H35" s="8"/>
      <c r="I35" s="8"/>
      <c r="J35" s="20"/>
      <c r="K35" s="8"/>
      <c r="L35" s="8"/>
    </row>
    <row r="36" spans="1:12">
      <c r="A36" s="8"/>
      <c r="B36" s="8"/>
      <c r="C36" s="8"/>
      <c r="D36" s="8"/>
      <c r="E36" s="15"/>
      <c r="F36" s="15"/>
      <c r="G36" s="15"/>
      <c r="H36" s="15"/>
      <c r="I36" s="15"/>
      <c r="J36" s="20"/>
      <c r="K36" s="8"/>
      <c r="L36" s="8"/>
    </row>
    <row r="37" spans="1:12">
      <c r="A37" s="8"/>
      <c r="B37" s="8"/>
      <c r="C37" s="8"/>
      <c r="D37" s="8"/>
      <c r="E37" s="15"/>
      <c r="F37" s="15"/>
      <c r="G37" s="15"/>
      <c r="H37" s="15"/>
      <c r="I37" s="15"/>
      <c r="J37" s="20"/>
      <c r="K37" s="8"/>
      <c r="L37" s="8"/>
    </row>
    <row r="38" spans="1:12">
      <c r="A38" s="8">
        <v>26</v>
      </c>
      <c r="B38" s="8" t="s">
        <v>19</v>
      </c>
      <c r="C38" s="8" t="s">
        <v>12</v>
      </c>
      <c r="D38" s="8">
        <v>5327.22</v>
      </c>
      <c r="E38" s="15">
        <v>144.41</v>
      </c>
      <c r="F38" s="15">
        <v>0</v>
      </c>
      <c r="G38" s="15">
        <v>0</v>
      </c>
      <c r="H38" s="15">
        <v>0</v>
      </c>
      <c r="I38" s="15">
        <v>0</v>
      </c>
      <c r="J38" s="20">
        <f>SUM(D38:I38)</f>
        <v>5471.63</v>
      </c>
      <c r="K38" s="8"/>
      <c r="L38" s="8"/>
    </row>
    <row r="39" spans="1:12" ht="15.75" thickBot="1">
      <c r="A39" s="8"/>
      <c r="B39" s="8"/>
      <c r="C39" s="8" t="s">
        <v>13</v>
      </c>
      <c r="D39" s="27">
        <v>135.69999999999999</v>
      </c>
      <c r="E39" s="28">
        <v>3.63</v>
      </c>
      <c r="F39" s="28">
        <v>0</v>
      </c>
      <c r="G39" s="28">
        <v>0</v>
      </c>
      <c r="H39" s="28">
        <v>0</v>
      </c>
      <c r="I39" s="28">
        <v>0</v>
      </c>
      <c r="J39" s="29">
        <f>SUM(D39:I39)</f>
        <v>139.32999999999998</v>
      </c>
      <c r="K39" s="8"/>
      <c r="L39" s="8"/>
    </row>
    <row r="40" spans="1:12">
      <c r="A40" s="8"/>
      <c r="B40" s="8"/>
      <c r="C40" s="8"/>
      <c r="D40" s="8"/>
      <c r="E40" s="15"/>
      <c r="F40" s="15"/>
      <c r="G40" s="15"/>
      <c r="H40" s="15"/>
      <c r="I40" s="15"/>
      <c r="J40" s="20"/>
      <c r="K40" s="8"/>
      <c r="L40" s="8"/>
    </row>
    <row r="41" spans="1:12" ht="15.75" thickBot="1">
      <c r="A41" s="8"/>
      <c r="B41" s="8"/>
      <c r="C41" s="8" t="s">
        <v>10</v>
      </c>
      <c r="D41" s="30">
        <f t="shared" ref="D41:I41" si="5">SUM(D38:D39)</f>
        <v>5462.92</v>
      </c>
      <c r="E41" s="30">
        <f t="shared" si="5"/>
        <v>148.04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1">
        <f>SUM(D41:I41)</f>
        <v>5610.96</v>
      </c>
      <c r="K41" s="8"/>
      <c r="L41" s="8"/>
    </row>
    <row r="42" spans="1:12" ht="15.75" thickTop="1">
      <c r="A42" s="8"/>
      <c r="B42" s="8"/>
      <c r="C42" s="8"/>
      <c r="D42" s="8"/>
      <c r="E42" s="15"/>
      <c r="F42" s="15"/>
      <c r="G42" s="15"/>
      <c r="H42" s="15"/>
      <c r="I42" s="15"/>
      <c r="J42" s="20"/>
      <c r="K42" s="8"/>
      <c r="L42" s="8"/>
    </row>
    <row r="43" spans="1:12">
      <c r="A43" s="8"/>
      <c r="B43" s="8"/>
      <c r="C43" s="8"/>
      <c r="D43" s="8"/>
      <c r="E43" s="15"/>
      <c r="F43" s="15"/>
      <c r="G43" s="15"/>
      <c r="H43" s="15"/>
      <c r="I43" s="15"/>
      <c r="J43" s="20"/>
      <c r="K43" s="8"/>
      <c r="L43" s="8"/>
    </row>
    <row r="44" spans="1:12" ht="15.75" thickBot="1">
      <c r="A44" s="8">
        <v>27</v>
      </c>
      <c r="B44" s="8" t="s">
        <v>20</v>
      </c>
      <c r="C44" s="8" t="s">
        <v>12</v>
      </c>
      <c r="D44" s="27">
        <v>8129.04</v>
      </c>
      <c r="E44" s="28">
        <v>2.98</v>
      </c>
      <c r="F44" s="28">
        <v>0</v>
      </c>
      <c r="G44" s="28">
        <v>0</v>
      </c>
      <c r="H44" s="28">
        <v>0</v>
      </c>
      <c r="I44" s="28">
        <v>0</v>
      </c>
      <c r="J44" s="29">
        <f>SUM(D44:I44)</f>
        <v>8132.0199999999995</v>
      </c>
      <c r="K44" s="8"/>
      <c r="L44" s="8"/>
    </row>
    <row r="45" spans="1:12">
      <c r="A45" s="8"/>
      <c r="B45" s="8"/>
      <c r="C45" s="8"/>
      <c r="D45" s="8"/>
      <c r="E45" s="24"/>
      <c r="F45" s="24"/>
      <c r="G45" s="24"/>
      <c r="H45" s="24"/>
      <c r="I45" s="24"/>
      <c r="J45" s="25"/>
      <c r="K45" s="8"/>
      <c r="L45" s="8"/>
    </row>
    <row r="46" spans="1:12" ht="15.75" thickBot="1">
      <c r="A46" s="8"/>
      <c r="B46" s="8"/>
      <c r="C46" s="8" t="s">
        <v>10</v>
      </c>
      <c r="D46" s="30">
        <f t="shared" ref="D46:I46" si="6">SUM(D44:D45)</f>
        <v>8129.04</v>
      </c>
      <c r="E46" s="30">
        <f t="shared" si="6"/>
        <v>2.98</v>
      </c>
      <c r="F46" s="30">
        <f t="shared" si="6"/>
        <v>0</v>
      </c>
      <c r="G46" s="30">
        <f t="shared" si="6"/>
        <v>0</v>
      </c>
      <c r="H46" s="30">
        <f t="shared" si="6"/>
        <v>0</v>
      </c>
      <c r="I46" s="30">
        <f t="shared" si="6"/>
        <v>0</v>
      </c>
      <c r="J46" s="31">
        <f>SUM(D46:I46)</f>
        <v>8132.0199999999995</v>
      </c>
      <c r="K46" s="8"/>
      <c r="L46" s="8"/>
    </row>
    <row r="47" spans="1:12" ht="15.75" thickTop="1">
      <c r="A47" s="8"/>
      <c r="B47" s="8"/>
      <c r="C47" s="8"/>
      <c r="D47" s="8"/>
      <c r="E47" s="15"/>
      <c r="F47" s="8"/>
      <c r="G47" s="8"/>
      <c r="H47" s="8"/>
      <c r="I47" s="8"/>
      <c r="J47" s="20"/>
      <c r="K47" s="8"/>
      <c r="L47" s="8"/>
    </row>
    <row r="48" spans="1:12">
      <c r="A48" s="8"/>
      <c r="B48" s="8"/>
      <c r="C48" s="8"/>
      <c r="D48" s="8"/>
      <c r="E48" s="15"/>
      <c r="F48" s="8"/>
      <c r="G48" s="8"/>
      <c r="H48" s="8"/>
      <c r="I48" s="8"/>
      <c r="J48" s="20"/>
      <c r="K48" s="8"/>
      <c r="L48" s="8"/>
    </row>
    <row r="49" spans="1:12">
      <c r="A49" s="8"/>
      <c r="B49" s="8"/>
      <c r="C49" s="8"/>
      <c r="D49" s="8"/>
      <c r="E49" s="15"/>
      <c r="F49" s="15"/>
      <c r="G49" s="15"/>
      <c r="H49" s="15"/>
      <c r="I49" s="15"/>
      <c r="J49" s="20"/>
      <c r="K49" s="8"/>
      <c r="L49" s="8"/>
    </row>
    <row r="50" spans="1:12">
      <c r="A50" s="8"/>
      <c r="B50" s="8"/>
      <c r="C50" s="8"/>
      <c r="D50" s="8"/>
      <c r="E50" s="15"/>
      <c r="F50" s="15"/>
      <c r="G50" s="15"/>
      <c r="H50" s="15"/>
      <c r="I50" s="15"/>
      <c r="J50" s="20"/>
      <c r="K50" s="8"/>
      <c r="L50" s="8"/>
    </row>
    <row r="51" spans="1:12">
      <c r="A51" s="8">
        <v>28</v>
      </c>
      <c r="B51" s="8" t="s">
        <v>21</v>
      </c>
      <c r="C51" s="8" t="s">
        <v>12</v>
      </c>
      <c r="D51" s="8">
        <v>5898.76</v>
      </c>
      <c r="E51" s="15">
        <v>295.56</v>
      </c>
      <c r="F51" s="15">
        <v>0</v>
      </c>
      <c r="G51" s="15">
        <v>0</v>
      </c>
      <c r="H51" s="15">
        <v>0</v>
      </c>
      <c r="I51" s="15">
        <v>0</v>
      </c>
      <c r="J51" s="20">
        <f>SUM(D51:I51)</f>
        <v>6194.3200000000006</v>
      </c>
      <c r="K51" s="8"/>
      <c r="L51" s="8"/>
    </row>
    <row r="52" spans="1:12" ht="15.75" thickBot="1">
      <c r="A52" s="8"/>
      <c r="B52" s="8"/>
      <c r="C52" s="8" t="s">
        <v>13</v>
      </c>
      <c r="D52" s="27">
        <v>199.42</v>
      </c>
      <c r="E52" s="28">
        <v>9.9</v>
      </c>
      <c r="F52" s="28">
        <v>0</v>
      </c>
      <c r="G52" s="28">
        <v>0</v>
      </c>
      <c r="H52" s="28">
        <v>0</v>
      </c>
      <c r="I52" s="28">
        <v>0</v>
      </c>
      <c r="J52" s="29">
        <f>SUM(D52:I52)</f>
        <v>209.32</v>
      </c>
      <c r="K52" s="8"/>
      <c r="L52" s="8"/>
    </row>
    <row r="53" spans="1:12">
      <c r="A53" s="8"/>
      <c r="B53" s="8"/>
      <c r="C53" s="8"/>
      <c r="D53" s="8"/>
      <c r="E53" s="15"/>
      <c r="F53" s="15"/>
      <c r="G53" s="15"/>
      <c r="H53" s="15"/>
      <c r="I53" s="15"/>
      <c r="J53" s="20"/>
      <c r="K53" s="8"/>
      <c r="L53" s="8"/>
    </row>
    <row r="54" spans="1:12" ht="15.75" thickBot="1">
      <c r="A54" s="8"/>
      <c r="B54" s="8"/>
      <c r="C54" s="8" t="s">
        <v>10</v>
      </c>
      <c r="D54" s="30">
        <f t="shared" ref="D54:I54" si="7">SUM(D51:D52)</f>
        <v>6098.18</v>
      </c>
      <c r="E54" s="30">
        <f t="shared" si="7"/>
        <v>305.45999999999998</v>
      </c>
      <c r="F54" s="30">
        <f t="shared" si="7"/>
        <v>0</v>
      </c>
      <c r="G54" s="30">
        <f t="shared" si="7"/>
        <v>0</v>
      </c>
      <c r="H54" s="30">
        <f t="shared" si="7"/>
        <v>0</v>
      </c>
      <c r="I54" s="30">
        <f t="shared" si="7"/>
        <v>0</v>
      </c>
      <c r="J54" s="31">
        <f>SUM(D54:I54)</f>
        <v>6403.64</v>
      </c>
      <c r="K54" s="8"/>
      <c r="L54" s="8"/>
    </row>
    <row r="55" spans="1:12" ht="15.75" thickTop="1">
      <c r="A55" s="8"/>
      <c r="B55" s="8"/>
      <c r="C55" s="8"/>
      <c r="D55" s="8"/>
      <c r="E55" s="15"/>
      <c r="F55" s="15"/>
      <c r="G55" s="15"/>
      <c r="H55" s="15"/>
      <c r="I55" s="15"/>
      <c r="J55" s="20"/>
      <c r="K55" s="8"/>
      <c r="L55" s="8"/>
    </row>
    <row r="56" spans="1:12">
      <c r="A56" s="8"/>
      <c r="B56" s="8"/>
      <c r="C56" s="8"/>
      <c r="D56" s="8"/>
      <c r="E56" s="15"/>
      <c r="F56" s="15"/>
      <c r="G56" s="15"/>
      <c r="H56" s="15"/>
      <c r="I56" s="15"/>
      <c r="J56" s="20"/>
      <c r="K56" s="8"/>
      <c r="L56" s="8"/>
    </row>
    <row r="57" spans="1:12">
      <c r="A57" s="8">
        <v>29</v>
      </c>
      <c r="B57" s="8" t="s">
        <v>22</v>
      </c>
      <c r="C57" s="8" t="s">
        <v>12</v>
      </c>
      <c r="D57" s="8">
        <v>11496.12</v>
      </c>
      <c r="E57" s="15">
        <v>36.56</v>
      </c>
      <c r="F57" s="15">
        <v>0</v>
      </c>
      <c r="G57" s="15">
        <v>0</v>
      </c>
      <c r="H57" s="15">
        <v>0</v>
      </c>
      <c r="I57" s="15">
        <v>0</v>
      </c>
      <c r="J57" s="20">
        <f>SUM(D57:I57)</f>
        <v>11532.68</v>
      </c>
      <c r="K57" s="8"/>
      <c r="L57" s="8"/>
    </row>
    <row r="58" spans="1:12">
      <c r="A58" s="8"/>
      <c r="B58" s="8"/>
      <c r="C58" s="8" t="s">
        <v>35</v>
      </c>
      <c r="D58" s="8">
        <v>535.91</v>
      </c>
      <c r="E58" s="15">
        <v>1.7</v>
      </c>
      <c r="F58" s="15">
        <v>0</v>
      </c>
      <c r="G58" s="15">
        <v>0</v>
      </c>
      <c r="H58" s="15">
        <v>0</v>
      </c>
      <c r="I58" s="15">
        <v>0</v>
      </c>
      <c r="J58" s="20">
        <f>SUM(D58:I58)</f>
        <v>537.61</v>
      </c>
      <c r="K58" s="8"/>
      <c r="L58" s="8"/>
    </row>
    <row r="59" spans="1:12">
      <c r="A59" s="8"/>
      <c r="B59" s="8"/>
      <c r="C59" s="8" t="s">
        <v>13</v>
      </c>
      <c r="D59" s="8">
        <v>784.75</v>
      </c>
      <c r="E59" s="15">
        <v>2.44</v>
      </c>
      <c r="F59" s="15">
        <v>0</v>
      </c>
      <c r="G59" s="15">
        <v>0</v>
      </c>
      <c r="H59" s="15">
        <v>0</v>
      </c>
      <c r="I59" s="15">
        <v>0</v>
      </c>
      <c r="J59" s="20">
        <f>SUM(D59:I59)</f>
        <v>787.19</v>
      </c>
      <c r="K59" s="8"/>
      <c r="L59" s="8"/>
    </row>
    <row r="60" spans="1:12" ht="15.75" thickBot="1">
      <c r="A60" s="8"/>
      <c r="B60" s="8"/>
      <c r="C60" s="8" t="s">
        <v>78</v>
      </c>
      <c r="D60" s="27">
        <v>1580.45</v>
      </c>
      <c r="E60" s="28">
        <v>4.93</v>
      </c>
      <c r="F60" s="28">
        <v>0</v>
      </c>
      <c r="G60" s="28">
        <v>0</v>
      </c>
      <c r="H60" s="28">
        <v>0</v>
      </c>
      <c r="I60" s="28">
        <v>0</v>
      </c>
      <c r="J60" s="29">
        <f>SUM(D60:I60)</f>
        <v>1585.38</v>
      </c>
      <c r="K60" s="8"/>
      <c r="L60" s="8"/>
    </row>
    <row r="61" spans="1:12">
      <c r="A61" s="8"/>
      <c r="B61" s="8"/>
      <c r="C61" s="8"/>
      <c r="D61" s="8"/>
      <c r="E61" s="15"/>
      <c r="F61" s="15"/>
      <c r="G61" s="15"/>
      <c r="H61" s="15"/>
      <c r="I61" s="15"/>
      <c r="J61" s="20"/>
      <c r="K61" s="8"/>
      <c r="L61" s="8"/>
    </row>
    <row r="62" spans="1:12" ht="15.75" thickBot="1">
      <c r="A62" s="8"/>
      <c r="B62" s="8"/>
      <c r="C62" s="8" t="s">
        <v>10</v>
      </c>
      <c r="D62" s="30">
        <f t="shared" ref="D62:I62" si="8">SUM(D57:D60)</f>
        <v>14397.230000000001</v>
      </c>
      <c r="E62" s="30">
        <f t="shared" si="8"/>
        <v>45.63</v>
      </c>
      <c r="F62" s="30">
        <f t="shared" si="8"/>
        <v>0</v>
      </c>
      <c r="G62" s="30">
        <f t="shared" si="8"/>
        <v>0</v>
      </c>
      <c r="H62" s="30">
        <f t="shared" si="8"/>
        <v>0</v>
      </c>
      <c r="I62" s="30">
        <f t="shared" si="8"/>
        <v>0</v>
      </c>
      <c r="J62" s="31">
        <f>SUM(D62:I62)</f>
        <v>14442.86</v>
      </c>
      <c r="K62" s="8"/>
      <c r="L62" s="8"/>
    </row>
    <row r="63" spans="1:12" ht="15.75" thickTop="1">
      <c r="A63" s="8"/>
      <c r="B63" s="8"/>
      <c r="C63" s="8"/>
      <c r="D63" s="8"/>
      <c r="E63" s="15"/>
      <c r="F63" s="15"/>
      <c r="G63" s="15"/>
      <c r="H63" s="15"/>
      <c r="I63" s="15"/>
      <c r="J63" s="20"/>
      <c r="K63" s="8"/>
      <c r="L63" s="8"/>
    </row>
    <row r="64" spans="1:12">
      <c r="A64" s="8">
        <v>30</v>
      </c>
      <c r="B64" s="8" t="s">
        <v>23</v>
      </c>
      <c r="C64" s="8" t="s">
        <v>12</v>
      </c>
      <c r="D64" s="8">
        <v>4391.7700000000004</v>
      </c>
      <c r="E64" s="15">
        <v>24.86</v>
      </c>
      <c r="F64" s="15">
        <v>16.02</v>
      </c>
      <c r="G64" s="15">
        <v>15.93</v>
      </c>
      <c r="H64" s="15">
        <v>14.58</v>
      </c>
      <c r="I64" s="15">
        <v>0</v>
      </c>
      <c r="J64" s="20">
        <f>SUM(D64:I64)</f>
        <v>4463.1600000000008</v>
      </c>
      <c r="K64" s="8"/>
      <c r="L64" s="8"/>
    </row>
    <row r="65" spans="1:12" ht="15.75" thickBot="1">
      <c r="A65" s="8"/>
      <c r="B65" s="8"/>
      <c r="C65" s="8" t="s">
        <v>13</v>
      </c>
      <c r="D65" s="27"/>
      <c r="E65" s="28"/>
      <c r="F65" s="28"/>
      <c r="G65" s="28"/>
      <c r="H65" s="28"/>
      <c r="I65" s="28"/>
      <c r="J65" s="29"/>
      <c r="K65" s="8"/>
      <c r="L65" s="8"/>
    </row>
    <row r="66" spans="1:12">
      <c r="A66" s="8"/>
      <c r="B66" s="8"/>
      <c r="C66" s="8"/>
      <c r="D66" s="8"/>
      <c r="E66" s="15"/>
      <c r="F66" s="15"/>
      <c r="G66" s="15"/>
      <c r="H66" s="15"/>
      <c r="I66" s="15"/>
      <c r="J66" s="20"/>
      <c r="K66" s="8"/>
      <c r="L66" s="8"/>
    </row>
    <row r="67" spans="1:12" ht="15.75" thickBot="1">
      <c r="A67" s="8"/>
      <c r="B67" s="8"/>
      <c r="C67" s="15" t="s">
        <v>10</v>
      </c>
      <c r="D67" s="30">
        <f t="shared" ref="D67:I67" si="9">SUM(D64:D65)</f>
        <v>4391.7700000000004</v>
      </c>
      <c r="E67" s="30">
        <f t="shared" si="9"/>
        <v>24.86</v>
      </c>
      <c r="F67" s="30">
        <f t="shared" si="9"/>
        <v>16.02</v>
      </c>
      <c r="G67" s="30">
        <f t="shared" si="9"/>
        <v>15.93</v>
      </c>
      <c r="H67" s="30">
        <f t="shared" si="9"/>
        <v>14.58</v>
      </c>
      <c r="I67" s="30">
        <f t="shared" si="9"/>
        <v>0</v>
      </c>
      <c r="J67" s="31">
        <f>SUM(D67:I67)</f>
        <v>4463.1600000000008</v>
      </c>
      <c r="K67" s="8"/>
      <c r="L67" s="8"/>
    </row>
    <row r="68" spans="1:12" ht="15.75" thickTop="1">
      <c r="A68" s="8"/>
      <c r="B68" s="8"/>
      <c r="C68" s="8"/>
      <c r="D68" s="8"/>
      <c r="E68" s="15"/>
      <c r="F68" s="15"/>
      <c r="G68" s="15"/>
      <c r="H68" s="15"/>
      <c r="I68" s="15"/>
      <c r="J68" s="20"/>
      <c r="K68" s="8"/>
      <c r="L68" s="8"/>
    </row>
    <row r="69" spans="1:12">
      <c r="A69" s="8"/>
      <c r="B69" s="8"/>
      <c r="C69" s="8"/>
      <c r="D69" s="8"/>
      <c r="E69" s="15"/>
      <c r="F69" s="15"/>
      <c r="G69" s="15"/>
      <c r="H69" s="15"/>
      <c r="I69" s="15"/>
      <c r="J69" s="20"/>
      <c r="K69" s="8"/>
      <c r="L69" s="8"/>
    </row>
    <row r="70" spans="1:12">
      <c r="A70" s="8">
        <v>31</v>
      </c>
      <c r="B70" s="8" t="s">
        <v>24</v>
      </c>
      <c r="C70" s="8" t="s">
        <v>12</v>
      </c>
      <c r="D70" s="8">
        <v>1724.64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20">
        <f>SUM(D70:I70)</f>
        <v>1724.64</v>
      </c>
      <c r="K70" s="8"/>
      <c r="L70" s="8"/>
    </row>
    <row r="71" spans="1:12" ht="15.75" thickBot="1">
      <c r="A71" s="8"/>
      <c r="B71" s="8"/>
      <c r="C71" s="8" t="s">
        <v>13</v>
      </c>
      <c r="D71" s="27">
        <v>63.39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9">
        <f>SUM(D71:I71)</f>
        <v>63.39</v>
      </c>
      <c r="K71" s="8"/>
      <c r="L71" s="8"/>
    </row>
    <row r="72" spans="1:12">
      <c r="A72" s="8"/>
      <c r="B72" s="8"/>
      <c r="C72" s="8"/>
      <c r="D72" s="8"/>
      <c r="E72" s="15"/>
      <c r="F72" s="15"/>
      <c r="G72" s="15"/>
      <c r="H72" s="15"/>
      <c r="I72" s="15"/>
      <c r="J72" s="20"/>
      <c r="K72" s="8"/>
      <c r="L72" s="8"/>
    </row>
    <row r="73" spans="1:12" ht="15.75" thickBot="1">
      <c r="A73" s="8"/>
      <c r="B73" s="8"/>
      <c r="C73" s="8" t="s">
        <v>10</v>
      </c>
      <c r="D73" s="30">
        <f t="shared" ref="D73:I73" si="10">SUM(D70:D71)</f>
        <v>1788.0300000000002</v>
      </c>
      <c r="E73" s="30">
        <f t="shared" si="10"/>
        <v>0</v>
      </c>
      <c r="F73" s="30">
        <f t="shared" si="10"/>
        <v>0</v>
      </c>
      <c r="G73" s="30">
        <f t="shared" si="10"/>
        <v>0</v>
      </c>
      <c r="H73" s="30">
        <f t="shared" si="10"/>
        <v>0</v>
      </c>
      <c r="I73" s="30">
        <f t="shared" si="10"/>
        <v>0</v>
      </c>
      <c r="J73" s="31">
        <f>SUM(D73:I73)</f>
        <v>1788.0300000000002</v>
      </c>
      <c r="K73" s="8"/>
      <c r="L73" s="8"/>
    </row>
    <row r="74" spans="1:12" ht="15.75" thickTop="1">
      <c r="A74" s="8"/>
      <c r="B74" s="8"/>
      <c r="C74" s="8"/>
      <c r="D74" s="8"/>
      <c r="E74" s="15"/>
      <c r="F74" s="15"/>
      <c r="G74" s="15"/>
      <c r="H74" s="15"/>
      <c r="I74" s="15"/>
      <c r="J74" s="20"/>
      <c r="K74" s="8"/>
      <c r="L74" s="8"/>
    </row>
    <row r="75" spans="1:12">
      <c r="A75" s="8"/>
      <c r="B75" s="8"/>
      <c r="C75" s="8"/>
      <c r="D75" s="8"/>
      <c r="E75" s="15"/>
      <c r="F75" s="15"/>
      <c r="G75" s="15"/>
      <c r="H75" s="15"/>
      <c r="I75" s="15"/>
      <c r="J75" s="20"/>
      <c r="K75" s="8"/>
      <c r="L75" s="8"/>
    </row>
    <row r="76" spans="1:12">
      <c r="A76" s="8">
        <v>32</v>
      </c>
      <c r="B76" s="8" t="s">
        <v>25</v>
      </c>
      <c r="C76" s="8" t="s">
        <v>12</v>
      </c>
      <c r="D76" s="8">
        <v>12954.42</v>
      </c>
      <c r="E76" s="15">
        <v>502.77</v>
      </c>
      <c r="F76" s="15">
        <v>225.02</v>
      </c>
      <c r="G76" s="15">
        <v>213.02</v>
      </c>
      <c r="H76" s="15">
        <v>179.28</v>
      </c>
      <c r="I76" s="15">
        <v>0</v>
      </c>
      <c r="J76" s="20">
        <f>SUM(D76:I76)</f>
        <v>14074.510000000002</v>
      </c>
      <c r="K76" s="8"/>
      <c r="L76" s="8"/>
    </row>
    <row r="77" spans="1:12">
      <c r="A77" s="8"/>
      <c r="B77" s="8"/>
      <c r="C77" s="8" t="s">
        <v>13</v>
      </c>
      <c r="D77" s="8">
        <v>310.07</v>
      </c>
      <c r="E77" s="15">
        <v>12.91</v>
      </c>
      <c r="F77" s="15">
        <v>9.11</v>
      </c>
      <c r="G77" s="15">
        <v>9.14</v>
      </c>
      <c r="H77" s="15">
        <v>4.4000000000000004</v>
      </c>
      <c r="I77" s="15">
        <v>0</v>
      </c>
      <c r="J77" s="20">
        <f>SUM(D77:I77)</f>
        <v>345.63</v>
      </c>
      <c r="K77" s="8"/>
      <c r="L77" s="8"/>
    </row>
    <row r="78" spans="1:12">
      <c r="A78" s="8"/>
      <c r="B78" s="8"/>
      <c r="C78" s="8" t="s">
        <v>73</v>
      </c>
      <c r="D78" s="26">
        <v>0</v>
      </c>
      <c r="E78" s="26">
        <v>0</v>
      </c>
      <c r="F78" s="8">
        <v>24.64</v>
      </c>
      <c r="G78" s="8">
        <v>22.07</v>
      </c>
      <c r="H78" s="8">
        <v>18.54</v>
      </c>
      <c r="I78" s="8">
        <v>0</v>
      </c>
      <c r="J78" s="20">
        <f>SUM(D78:I78)</f>
        <v>65.25</v>
      </c>
      <c r="K78" s="8"/>
      <c r="L78" s="8"/>
    </row>
    <row r="79" spans="1:12" ht="15.75" thickBot="1">
      <c r="A79" s="8"/>
      <c r="B79" s="8"/>
      <c r="C79" s="8" t="s">
        <v>78</v>
      </c>
      <c r="D79" s="33">
        <v>0</v>
      </c>
      <c r="E79" s="33">
        <v>0</v>
      </c>
      <c r="F79" s="27">
        <v>36.950000000000003</v>
      </c>
      <c r="G79" s="27">
        <v>33.659999999999997</v>
      </c>
      <c r="H79" s="27">
        <v>27.82</v>
      </c>
      <c r="I79" s="27">
        <v>0</v>
      </c>
      <c r="J79" s="29">
        <f>SUM(D79:I79)</f>
        <v>98.43</v>
      </c>
      <c r="K79" s="8"/>
      <c r="L79" s="8"/>
    </row>
    <row r="80" spans="1:12">
      <c r="A80" s="8"/>
      <c r="B80" s="8"/>
      <c r="C80" s="8"/>
      <c r="D80" s="8"/>
      <c r="E80" s="15"/>
      <c r="F80" s="8"/>
      <c r="G80" s="8"/>
      <c r="H80" s="8"/>
      <c r="I80" s="8"/>
      <c r="J80" s="20"/>
      <c r="K80" s="8"/>
      <c r="L80" s="8"/>
    </row>
    <row r="81" spans="1:12" ht="15.75" thickBot="1">
      <c r="A81" s="8"/>
      <c r="B81" s="8"/>
      <c r="C81" s="8" t="s">
        <v>10</v>
      </c>
      <c r="D81" s="30">
        <f t="shared" ref="D81:I81" si="11">SUM(D76:D79)</f>
        <v>13264.49</v>
      </c>
      <c r="E81" s="30">
        <f t="shared" si="11"/>
        <v>515.67999999999995</v>
      </c>
      <c r="F81" s="30">
        <f t="shared" si="11"/>
        <v>295.71999999999997</v>
      </c>
      <c r="G81" s="30">
        <f t="shared" si="11"/>
        <v>277.89</v>
      </c>
      <c r="H81" s="30">
        <f t="shared" si="11"/>
        <v>230.04</v>
      </c>
      <c r="I81" s="30">
        <f t="shared" si="11"/>
        <v>0</v>
      </c>
      <c r="J81" s="31">
        <f>SUM(D81:I81)</f>
        <v>14583.82</v>
      </c>
      <c r="K81" s="8"/>
      <c r="L81" s="8"/>
    </row>
    <row r="82" spans="1:12" ht="15.75" thickTop="1">
      <c r="A82" s="8"/>
      <c r="B82" s="8"/>
      <c r="C82" s="8"/>
      <c r="D82" s="8"/>
      <c r="E82" s="15"/>
      <c r="F82" s="15"/>
      <c r="G82" s="15"/>
      <c r="H82" s="15"/>
      <c r="I82" s="15"/>
      <c r="J82" s="20"/>
      <c r="K82" s="8"/>
      <c r="L82" s="8"/>
    </row>
    <row r="83" spans="1:12">
      <c r="A83" s="8"/>
      <c r="B83" s="8"/>
      <c r="C83" s="8"/>
      <c r="D83" s="8"/>
      <c r="E83" s="15"/>
      <c r="F83" s="15"/>
      <c r="G83" s="15"/>
      <c r="H83" s="15"/>
      <c r="I83" s="15"/>
      <c r="J83" s="20"/>
      <c r="K83" s="8"/>
      <c r="L83" s="8"/>
    </row>
    <row r="84" spans="1:12">
      <c r="A84" s="8">
        <v>33</v>
      </c>
      <c r="B84" s="8" t="s">
        <v>26</v>
      </c>
      <c r="C84" s="8" t="s">
        <v>12</v>
      </c>
      <c r="D84" s="8">
        <v>7022.58</v>
      </c>
      <c r="E84" s="15">
        <v>678.54</v>
      </c>
      <c r="F84" s="15">
        <v>278.39</v>
      </c>
      <c r="G84" s="15">
        <v>0</v>
      </c>
      <c r="H84" s="15">
        <v>0</v>
      </c>
      <c r="I84" s="15">
        <v>0</v>
      </c>
      <c r="J84" s="20">
        <f>SUM(D84:I84)</f>
        <v>7979.51</v>
      </c>
      <c r="K84" s="8"/>
      <c r="L84" s="8"/>
    </row>
    <row r="85" spans="1:12" ht="15.75" thickBot="1">
      <c r="A85" s="8"/>
      <c r="B85" s="8"/>
      <c r="C85" s="8" t="s">
        <v>13</v>
      </c>
      <c r="D85" s="27">
        <v>109.5</v>
      </c>
      <c r="E85" s="28">
        <v>9.8000000000000007</v>
      </c>
      <c r="F85" s="28">
        <v>4.07</v>
      </c>
      <c r="G85" s="28">
        <v>0</v>
      </c>
      <c r="H85" s="28">
        <v>0</v>
      </c>
      <c r="I85" s="28">
        <v>0</v>
      </c>
      <c r="J85" s="29">
        <f>SUM(D85:I85)</f>
        <v>123.37</v>
      </c>
      <c r="K85" s="8"/>
      <c r="L85" s="8"/>
    </row>
    <row r="86" spans="1:12">
      <c r="A86" s="8"/>
      <c r="B86" s="8"/>
      <c r="C86" s="8"/>
      <c r="D86" s="8"/>
      <c r="E86" s="15"/>
      <c r="F86" s="15"/>
      <c r="G86" s="15"/>
      <c r="H86" s="15"/>
      <c r="I86" s="15"/>
      <c r="J86" s="20"/>
      <c r="K86" s="8"/>
      <c r="L86" s="8"/>
    </row>
    <row r="87" spans="1:12" ht="15.75" thickBot="1">
      <c r="A87" s="8"/>
      <c r="B87" s="8"/>
      <c r="C87" s="8" t="s">
        <v>10</v>
      </c>
      <c r="D87" s="30">
        <f t="shared" ref="D87:I87" si="12">SUM(D84:D85)</f>
        <v>7132.08</v>
      </c>
      <c r="E87" s="30">
        <f t="shared" si="12"/>
        <v>688.33999999999992</v>
      </c>
      <c r="F87" s="30">
        <f t="shared" si="12"/>
        <v>282.45999999999998</v>
      </c>
      <c r="G87" s="30">
        <f t="shared" si="12"/>
        <v>0</v>
      </c>
      <c r="H87" s="30">
        <f t="shared" si="12"/>
        <v>0</v>
      </c>
      <c r="I87" s="30">
        <f t="shared" si="12"/>
        <v>0</v>
      </c>
      <c r="J87" s="31">
        <f>SUM(D87:I87)</f>
        <v>8102.88</v>
      </c>
      <c r="K87" s="8"/>
      <c r="L87" s="8"/>
    </row>
    <row r="88" spans="1:12" ht="15.75" thickTop="1">
      <c r="A88" s="8"/>
      <c r="B88" s="8"/>
      <c r="C88" s="8"/>
      <c r="D88" s="8"/>
      <c r="E88" s="15"/>
      <c r="F88" s="15"/>
      <c r="G88" s="15"/>
      <c r="H88" s="15"/>
      <c r="I88" s="15"/>
      <c r="J88" s="20"/>
      <c r="K88" s="8"/>
      <c r="L88" s="8"/>
    </row>
    <row r="89" spans="1:12">
      <c r="A89" s="8"/>
      <c r="B89" s="8"/>
      <c r="C89" s="8"/>
      <c r="D89" s="8"/>
      <c r="E89" s="15"/>
      <c r="F89" s="15"/>
      <c r="G89" s="15"/>
      <c r="H89" s="15"/>
      <c r="I89" s="15"/>
      <c r="J89" s="20"/>
      <c r="K89" s="8"/>
      <c r="L89" s="8"/>
    </row>
    <row r="90" spans="1:12">
      <c r="A90" s="8">
        <v>34</v>
      </c>
      <c r="B90" s="8" t="s">
        <v>27</v>
      </c>
      <c r="C90" s="8" t="s">
        <v>12</v>
      </c>
      <c r="D90" s="8">
        <v>7486.04</v>
      </c>
      <c r="E90" s="15">
        <v>335.98</v>
      </c>
      <c r="F90" s="15">
        <v>82.12</v>
      </c>
      <c r="G90" s="15">
        <v>89.72</v>
      </c>
      <c r="H90" s="15">
        <v>0</v>
      </c>
      <c r="I90" s="15">
        <v>0</v>
      </c>
      <c r="J90" s="20">
        <f>SUM(D90:I90)</f>
        <v>7993.8600000000006</v>
      </c>
      <c r="K90" s="8"/>
      <c r="L90" s="8"/>
    </row>
    <row r="91" spans="1:12">
      <c r="A91" s="8"/>
      <c r="B91" s="8"/>
      <c r="C91" s="8" t="s">
        <v>13</v>
      </c>
      <c r="D91" s="8">
        <v>603.04</v>
      </c>
      <c r="E91" s="15">
        <v>29.67</v>
      </c>
      <c r="F91" s="15">
        <v>6.84</v>
      </c>
      <c r="G91" s="15">
        <v>7.14</v>
      </c>
      <c r="H91" s="15">
        <v>0</v>
      </c>
      <c r="I91" s="15">
        <v>0</v>
      </c>
      <c r="J91" s="20">
        <f>SUM(D91:I91)</f>
        <v>646.68999999999994</v>
      </c>
      <c r="K91" s="8"/>
      <c r="L91" s="8"/>
    </row>
    <row r="92" spans="1:12" ht="15.75" thickBot="1">
      <c r="A92" s="8"/>
      <c r="B92" s="8"/>
      <c r="C92" s="8" t="s">
        <v>78</v>
      </c>
      <c r="D92" s="27">
        <v>1201.73</v>
      </c>
      <c r="E92" s="28">
        <v>56.13</v>
      </c>
      <c r="F92" s="28">
        <v>13.58</v>
      </c>
      <c r="G92" s="28">
        <v>9.7799999999999994</v>
      </c>
      <c r="H92" s="28">
        <v>0</v>
      </c>
      <c r="I92" s="28">
        <v>0</v>
      </c>
      <c r="J92" s="29">
        <f>SUM(D92:I92)</f>
        <v>1281.22</v>
      </c>
      <c r="K92" s="8"/>
      <c r="L92" s="8"/>
    </row>
    <row r="93" spans="1:12">
      <c r="A93" s="8"/>
      <c r="B93" s="8"/>
      <c r="C93" s="8"/>
      <c r="D93" s="8"/>
      <c r="E93" s="15"/>
      <c r="F93" s="15"/>
      <c r="G93" s="15"/>
      <c r="H93" s="15"/>
      <c r="I93" s="15"/>
      <c r="J93" s="20"/>
      <c r="K93" s="8"/>
      <c r="L93" s="8"/>
    </row>
    <row r="94" spans="1:12" ht="15.75" thickBot="1">
      <c r="A94" s="8"/>
      <c r="B94" s="8"/>
      <c r="C94" s="8" t="s">
        <v>10</v>
      </c>
      <c r="D94" s="30">
        <f t="shared" ref="D94:I94" si="13">SUM(D90:D93)</f>
        <v>9290.81</v>
      </c>
      <c r="E94" s="30">
        <f t="shared" si="13"/>
        <v>421.78000000000003</v>
      </c>
      <c r="F94" s="30">
        <f t="shared" si="13"/>
        <v>102.54</v>
      </c>
      <c r="G94" s="30">
        <f t="shared" si="13"/>
        <v>106.64</v>
      </c>
      <c r="H94" s="30">
        <f t="shared" si="13"/>
        <v>0</v>
      </c>
      <c r="I94" s="30">
        <f t="shared" si="13"/>
        <v>0</v>
      </c>
      <c r="J94" s="31">
        <f>SUM(D94:I94)</f>
        <v>9921.77</v>
      </c>
      <c r="K94" s="8"/>
      <c r="L94" s="8"/>
    </row>
    <row r="95" spans="1:12" ht="15.75" thickTop="1">
      <c r="A95" s="8"/>
      <c r="B95" s="8"/>
      <c r="C95" s="8"/>
      <c r="D95" s="8"/>
      <c r="E95" s="15"/>
      <c r="F95" s="15"/>
      <c r="G95" s="15"/>
      <c r="H95" s="15"/>
      <c r="I95" s="15"/>
      <c r="J95" s="20"/>
      <c r="K95" s="8"/>
      <c r="L95" s="8"/>
    </row>
    <row r="96" spans="1:12">
      <c r="A96" s="8"/>
      <c r="B96" s="8"/>
      <c r="C96" s="8"/>
      <c r="D96" s="8"/>
      <c r="E96" s="15"/>
      <c r="F96" s="15"/>
      <c r="G96" s="15"/>
      <c r="H96" s="15"/>
      <c r="I96" s="15"/>
      <c r="J96" s="20"/>
      <c r="K96" s="8"/>
      <c r="L96" s="8"/>
    </row>
    <row r="97" spans="1:12" ht="15.75" thickBot="1">
      <c r="A97" s="8">
        <v>35</v>
      </c>
      <c r="B97" s="8" t="s">
        <v>28</v>
      </c>
      <c r="C97" s="8" t="s">
        <v>12</v>
      </c>
      <c r="D97" s="27">
        <v>5620.23</v>
      </c>
      <c r="E97" s="28">
        <v>167.55</v>
      </c>
      <c r="F97" s="28">
        <v>99.76</v>
      </c>
      <c r="G97" s="28">
        <v>37.700000000000003</v>
      </c>
      <c r="H97" s="28">
        <v>6.31</v>
      </c>
      <c r="I97" s="28">
        <v>0</v>
      </c>
      <c r="J97" s="29">
        <f>SUM(D97:I97)</f>
        <v>5931.55</v>
      </c>
      <c r="K97" s="8"/>
      <c r="L97" s="8"/>
    </row>
    <row r="98" spans="1:12">
      <c r="A98" s="8"/>
      <c r="B98" s="8"/>
      <c r="C98" s="8"/>
      <c r="D98" s="8"/>
      <c r="E98" s="24"/>
      <c r="F98" s="24"/>
      <c r="G98" s="24"/>
      <c r="H98" s="24"/>
      <c r="I98" s="24"/>
      <c r="J98" s="25"/>
      <c r="K98" s="8"/>
      <c r="L98" s="8"/>
    </row>
    <row r="99" spans="1:12" ht="15.75" thickBot="1">
      <c r="A99" s="8"/>
      <c r="B99" s="8"/>
      <c r="C99" s="8" t="s">
        <v>10</v>
      </c>
      <c r="D99" s="30">
        <f t="shared" ref="D99:I99" si="14">SUM(D97:D98)</f>
        <v>5620.23</v>
      </c>
      <c r="E99" s="30">
        <f t="shared" si="14"/>
        <v>167.55</v>
      </c>
      <c r="F99" s="30">
        <f t="shared" si="14"/>
        <v>99.76</v>
      </c>
      <c r="G99" s="30">
        <f t="shared" si="14"/>
        <v>37.700000000000003</v>
      </c>
      <c r="H99" s="30">
        <f t="shared" si="14"/>
        <v>6.31</v>
      </c>
      <c r="I99" s="30">
        <f t="shared" si="14"/>
        <v>0</v>
      </c>
      <c r="J99" s="31">
        <f>SUM(D99:I99)</f>
        <v>5931.55</v>
      </c>
      <c r="K99" s="8"/>
      <c r="L99" s="8"/>
    </row>
    <row r="100" spans="1:12" ht="15.75" thickTop="1">
      <c r="A100" s="8"/>
      <c r="B100" s="8"/>
      <c r="C100" s="8"/>
      <c r="D100" s="8"/>
      <c r="E100" s="15"/>
      <c r="F100" s="15"/>
      <c r="G100" s="15"/>
      <c r="H100" s="15"/>
      <c r="I100" s="15"/>
      <c r="J100" s="20"/>
      <c r="K100" s="8"/>
      <c r="L100" s="8"/>
    </row>
    <row r="101" spans="1:12">
      <c r="A101" s="8"/>
      <c r="B101" s="8"/>
      <c r="C101" s="8"/>
      <c r="D101" s="8"/>
      <c r="E101" s="15"/>
      <c r="F101" s="15"/>
      <c r="G101" s="15"/>
      <c r="H101" s="15"/>
      <c r="I101" s="15"/>
      <c r="J101" s="20"/>
      <c r="K101" s="8"/>
      <c r="L101" s="8"/>
    </row>
    <row r="102" spans="1:12">
      <c r="A102" s="8">
        <v>36</v>
      </c>
      <c r="B102" s="8" t="s">
        <v>29</v>
      </c>
      <c r="C102" s="8" t="s">
        <v>12</v>
      </c>
      <c r="D102" s="8">
        <v>6658.84</v>
      </c>
      <c r="E102" s="15">
        <v>318.79000000000002</v>
      </c>
      <c r="F102" s="15">
        <v>166.6</v>
      </c>
      <c r="G102" s="15">
        <v>19.02</v>
      </c>
      <c r="H102" s="15">
        <v>0</v>
      </c>
      <c r="I102" s="15">
        <v>0</v>
      </c>
      <c r="J102" s="20">
        <f>SUM(D102:I102)</f>
        <v>7163.2500000000009</v>
      </c>
      <c r="K102" s="8"/>
      <c r="L102" s="8"/>
    </row>
    <row r="103" spans="1:12" ht="15.75" thickBot="1">
      <c r="A103" s="8"/>
      <c r="B103" s="8"/>
      <c r="C103" s="8" t="s">
        <v>13</v>
      </c>
      <c r="D103" s="27">
        <v>443.44</v>
      </c>
      <c r="E103" s="28">
        <v>20.04</v>
      </c>
      <c r="F103" s="28">
        <v>10.67</v>
      </c>
      <c r="G103" s="28">
        <v>1.1499999999999999</v>
      </c>
      <c r="H103" s="28">
        <v>0</v>
      </c>
      <c r="I103" s="28">
        <v>0</v>
      </c>
      <c r="J103" s="29">
        <f>SUM(D103:I103)</f>
        <v>475.3</v>
      </c>
      <c r="K103" s="8"/>
      <c r="L103" s="8"/>
    </row>
    <row r="104" spans="1:12">
      <c r="A104" s="8"/>
      <c r="B104" s="8"/>
      <c r="C104" s="8"/>
      <c r="D104" s="8"/>
      <c r="E104" s="15"/>
      <c r="F104" s="15"/>
      <c r="G104" s="15"/>
      <c r="H104" s="15"/>
      <c r="I104" s="15"/>
      <c r="J104" s="20"/>
      <c r="K104" s="8"/>
      <c r="L104" s="8"/>
    </row>
    <row r="105" spans="1:12" ht="15.75" thickBot="1">
      <c r="A105" s="8"/>
      <c r="B105" s="8"/>
      <c r="C105" s="8" t="s">
        <v>10</v>
      </c>
      <c r="D105" s="30">
        <f t="shared" ref="D105:I105" si="15">SUM(D102:D103)</f>
        <v>7102.28</v>
      </c>
      <c r="E105" s="30">
        <f t="shared" si="15"/>
        <v>338.83000000000004</v>
      </c>
      <c r="F105" s="30">
        <f t="shared" si="15"/>
        <v>177.26999999999998</v>
      </c>
      <c r="G105" s="30">
        <f t="shared" si="15"/>
        <v>20.169999999999998</v>
      </c>
      <c r="H105" s="30">
        <f t="shared" si="15"/>
        <v>0</v>
      </c>
      <c r="I105" s="30">
        <f t="shared" si="15"/>
        <v>0</v>
      </c>
      <c r="J105" s="31">
        <f>SUM(D105:I105)</f>
        <v>7638.5499999999993</v>
      </c>
      <c r="K105" s="8"/>
      <c r="L105" s="8"/>
    </row>
    <row r="106" spans="1:12" ht="15.75" thickTop="1">
      <c r="A106" s="8"/>
      <c r="B106" s="8"/>
      <c r="C106" s="8"/>
      <c r="D106" s="8"/>
      <c r="E106" s="15"/>
      <c r="F106" s="15"/>
      <c r="G106" s="15"/>
      <c r="H106" s="15"/>
      <c r="I106" s="15"/>
      <c r="J106" s="20"/>
      <c r="K106" s="8"/>
      <c r="L106" s="8"/>
    </row>
    <row r="107" spans="1:12">
      <c r="A107" s="8"/>
      <c r="B107" s="8"/>
      <c r="C107" s="8"/>
      <c r="D107" s="8"/>
      <c r="E107" s="15"/>
      <c r="F107" s="15"/>
      <c r="G107" s="15"/>
      <c r="H107" s="15"/>
      <c r="I107" s="15"/>
      <c r="J107" s="20"/>
      <c r="K107" s="8"/>
      <c r="L107" s="8"/>
    </row>
    <row r="108" spans="1:12" ht="15.75" thickBot="1">
      <c r="A108" s="8">
        <v>37</v>
      </c>
      <c r="B108" s="8" t="s">
        <v>30</v>
      </c>
      <c r="C108" s="8" t="s">
        <v>12</v>
      </c>
      <c r="D108" s="27">
        <v>6763.64</v>
      </c>
      <c r="E108" s="28">
        <v>638.77</v>
      </c>
      <c r="F108" s="28">
        <v>21.43</v>
      </c>
      <c r="G108" s="28">
        <v>24.91</v>
      </c>
      <c r="H108" s="28">
        <v>2.29</v>
      </c>
      <c r="I108" s="28">
        <v>0</v>
      </c>
      <c r="J108" s="29">
        <f>SUM(D108:I108)</f>
        <v>7451.04</v>
      </c>
      <c r="K108" s="8"/>
      <c r="L108" s="8"/>
    </row>
    <row r="109" spans="1:12">
      <c r="A109" s="8"/>
      <c r="B109" s="8"/>
      <c r="C109" s="8"/>
      <c r="D109" s="8"/>
      <c r="E109" s="24"/>
      <c r="F109" s="24"/>
      <c r="G109" s="24"/>
      <c r="H109" s="24"/>
      <c r="I109" s="24"/>
      <c r="J109" s="25"/>
      <c r="K109" s="8"/>
      <c r="L109" s="8"/>
    </row>
    <row r="110" spans="1:12" ht="15.75" thickBot="1">
      <c r="A110" s="8"/>
      <c r="B110" s="8"/>
      <c r="C110" s="8" t="s">
        <v>10</v>
      </c>
      <c r="D110" s="30">
        <f t="shared" ref="D110:I110" si="16">SUM(D108:D109)</f>
        <v>6763.64</v>
      </c>
      <c r="E110" s="30">
        <f t="shared" si="16"/>
        <v>638.77</v>
      </c>
      <c r="F110" s="30">
        <f t="shared" si="16"/>
        <v>21.43</v>
      </c>
      <c r="G110" s="30">
        <f t="shared" si="16"/>
        <v>24.91</v>
      </c>
      <c r="H110" s="30">
        <f t="shared" si="16"/>
        <v>2.29</v>
      </c>
      <c r="I110" s="30">
        <f t="shared" si="16"/>
        <v>0</v>
      </c>
      <c r="J110" s="31">
        <f>SUM(D110:I110)</f>
        <v>7451.04</v>
      </c>
      <c r="K110" s="8"/>
      <c r="L110" s="8"/>
    </row>
    <row r="111" spans="1:12" ht="15.75" thickTop="1">
      <c r="A111" s="8"/>
      <c r="B111" s="8"/>
      <c r="C111" s="8"/>
      <c r="D111" s="8"/>
      <c r="E111" s="15"/>
      <c r="F111" s="15"/>
      <c r="G111" s="15"/>
      <c r="H111" s="15"/>
      <c r="I111" s="15"/>
      <c r="J111" s="20"/>
      <c r="K111" s="8"/>
      <c r="L111" s="8"/>
    </row>
    <row r="112" spans="1:12">
      <c r="A112" s="8"/>
      <c r="B112" s="8"/>
      <c r="C112" s="8"/>
      <c r="D112" s="8"/>
      <c r="E112" s="15"/>
      <c r="F112" s="15"/>
      <c r="G112" s="15"/>
      <c r="H112" s="15"/>
      <c r="I112" s="15"/>
      <c r="J112" s="20"/>
      <c r="K112" s="8"/>
      <c r="L112" s="8"/>
    </row>
    <row r="113" spans="1:12">
      <c r="A113" s="8">
        <v>38</v>
      </c>
      <c r="B113" s="8" t="s">
        <v>31</v>
      </c>
      <c r="C113" s="8" t="s">
        <v>12</v>
      </c>
      <c r="D113" s="8">
        <v>7033.01</v>
      </c>
      <c r="E113" s="15">
        <v>76.78</v>
      </c>
      <c r="F113" s="15">
        <v>0.49</v>
      </c>
      <c r="G113" s="15">
        <v>0</v>
      </c>
      <c r="H113" s="15">
        <v>0</v>
      </c>
      <c r="I113" s="15">
        <v>0</v>
      </c>
      <c r="J113" s="20">
        <f>SUM(D113:I113)</f>
        <v>7110.28</v>
      </c>
      <c r="K113" s="8"/>
      <c r="L113" s="8"/>
    </row>
    <row r="114" spans="1:12">
      <c r="A114" s="8"/>
      <c r="B114" s="8"/>
      <c r="C114" s="8" t="s">
        <v>35</v>
      </c>
      <c r="D114" s="8">
        <v>895.44</v>
      </c>
      <c r="E114" s="15">
        <v>7.19</v>
      </c>
      <c r="F114" s="15">
        <v>0</v>
      </c>
      <c r="G114" s="15">
        <v>0</v>
      </c>
      <c r="H114" s="15">
        <v>0</v>
      </c>
      <c r="I114" s="15">
        <v>0</v>
      </c>
      <c r="J114" s="20">
        <f>SUM(D114:I114)</f>
        <v>902.63000000000011</v>
      </c>
      <c r="K114" s="8"/>
      <c r="L114" s="8"/>
    </row>
    <row r="115" spans="1:12">
      <c r="A115" s="8"/>
      <c r="B115" s="8"/>
      <c r="C115" s="8" t="s">
        <v>13</v>
      </c>
      <c r="D115" s="8">
        <v>668.11</v>
      </c>
      <c r="E115" s="15">
        <v>5.3</v>
      </c>
      <c r="F115" s="15">
        <v>0</v>
      </c>
      <c r="G115" s="15">
        <v>0</v>
      </c>
      <c r="H115" s="15">
        <v>0</v>
      </c>
      <c r="I115" s="15">
        <v>0</v>
      </c>
      <c r="J115" s="20">
        <f>SUM(D115:I115)</f>
        <v>673.41</v>
      </c>
      <c r="K115" s="8"/>
      <c r="L115" s="8"/>
    </row>
    <row r="116" spans="1:12" ht="15.75" thickBot="1">
      <c r="A116" s="8"/>
      <c r="B116" s="8"/>
      <c r="C116" s="8" t="s">
        <v>78</v>
      </c>
      <c r="D116" s="27">
        <v>1409.48</v>
      </c>
      <c r="E116" s="28">
        <v>11.21</v>
      </c>
      <c r="F116" s="28">
        <v>0.11</v>
      </c>
      <c r="G116" s="28">
        <v>0</v>
      </c>
      <c r="H116" s="28">
        <v>0</v>
      </c>
      <c r="I116" s="28">
        <v>0</v>
      </c>
      <c r="J116" s="29">
        <f>SUM(D116:I116)</f>
        <v>1420.8</v>
      </c>
      <c r="K116" s="8"/>
      <c r="L116" s="8"/>
    </row>
    <row r="117" spans="1:12">
      <c r="A117" s="8"/>
      <c r="B117" s="8"/>
      <c r="C117" s="8"/>
      <c r="D117" s="8"/>
      <c r="E117" s="15"/>
      <c r="F117" s="15"/>
      <c r="G117" s="15"/>
      <c r="H117" s="15"/>
      <c r="I117" s="15"/>
      <c r="J117" s="20"/>
      <c r="K117" s="8"/>
      <c r="L117" s="8"/>
    </row>
    <row r="118" spans="1:12" ht="15.75" thickBot="1">
      <c r="A118" s="8"/>
      <c r="B118" s="8"/>
      <c r="C118" s="8" t="s">
        <v>10</v>
      </c>
      <c r="D118" s="30">
        <f t="shared" ref="D118:I118" si="17">SUM(D113:D116)</f>
        <v>10006.040000000001</v>
      </c>
      <c r="E118" s="30">
        <f t="shared" si="17"/>
        <v>100.47999999999999</v>
      </c>
      <c r="F118" s="30">
        <f t="shared" si="17"/>
        <v>0.6</v>
      </c>
      <c r="G118" s="30">
        <f t="shared" si="17"/>
        <v>0</v>
      </c>
      <c r="H118" s="30">
        <f t="shared" si="17"/>
        <v>0</v>
      </c>
      <c r="I118" s="30">
        <f t="shared" si="17"/>
        <v>0</v>
      </c>
      <c r="J118" s="31">
        <f>SUM(D118:I118)</f>
        <v>10107.120000000001</v>
      </c>
      <c r="K118" s="8"/>
      <c r="L118" s="8"/>
    </row>
    <row r="119" spans="1:12" ht="15.75" thickTop="1">
      <c r="A119" s="8"/>
      <c r="B119" s="8"/>
      <c r="C119" s="8"/>
      <c r="D119" s="8"/>
      <c r="E119" s="15"/>
      <c r="F119" s="15"/>
      <c r="G119" s="15"/>
      <c r="H119" s="15"/>
      <c r="I119" s="15"/>
      <c r="J119" s="20"/>
      <c r="K119" s="8"/>
      <c r="L119" s="8"/>
    </row>
    <row r="120" spans="1:12">
      <c r="A120" s="8"/>
      <c r="B120" s="8"/>
      <c r="C120" s="8"/>
      <c r="D120" s="8"/>
      <c r="E120" s="15"/>
      <c r="F120" s="15"/>
      <c r="G120" s="15"/>
      <c r="H120" s="15"/>
      <c r="I120" s="15"/>
      <c r="J120" s="20"/>
      <c r="K120" s="8"/>
      <c r="L120" s="8"/>
    </row>
    <row r="121" spans="1:12" ht="15.75" thickBot="1">
      <c r="A121" s="8">
        <v>39</v>
      </c>
      <c r="B121" s="8" t="s">
        <v>32</v>
      </c>
      <c r="C121" s="8" t="s">
        <v>12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I121" s="28">
        <v>0</v>
      </c>
      <c r="J121" s="34">
        <v>0</v>
      </c>
      <c r="K121" s="8"/>
      <c r="L121" s="8"/>
    </row>
    <row r="122" spans="1:12">
      <c r="A122" s="8"/>
      <c r="B122" s="8"/>
      <c r="C122" s="8"/>
      <c r="D122" s="8"/>
      <c r="E122" s="15"/>
      <c r="F122" s="15"/>
      <c r="G122" s="15"/>
      <c r="H122" s="15"/>
      <c r="I122" s="15"/>
      <c r="J122" s="20"/>
      <c r="K122" s="8"/>
      <c r="L122" s="8"/>
    </row>
    <row r="123" spans="1:12" ht="15.75" thickBot="1">
      <c r="A123" s="8"/>
      <c r="B123" s="8"/>
      <c r="C123" s="8" t="s">
        <v>10</v>
      </c>
      <c r="D123" s="32"/>
      <c r="E123" s="30"/>
      <c r="F123" s="30"/>
      <c r="G123" s="30"/>
      <c r="H123" s="30"/>
      <c r="I123" s="30"/>
      <c r="J123" s="31"/>
      <c r="K123" s="8"/>
      <c r="L123" s="8"/>
    </row>
    <row r="124" spans="1:12" ht="15.75" thickTop="1">
      <c r="A124" s="8"/>
      <c r="B124" s="8"/>
      <c r="C124" s="8"/>
      <c r="D124" s="8"/>
      <c r="E124" s="15"/>
      <c r="F124" s="15"/>
      <c r="G124" s="15"/>
      <c r="H124" s="15"/>
      <c r="I124" s="15"/>
      <c r="J124" s="20"/>
      <c r="K124" s="8"/>
      <c r="L124" s="8"/>
    </row>
    <row r="125" spans="1:12">
      <c r="A125" s="8"/>
      <c r="B125" s="8"/>
      <c r="C125" s="8"/>
      <c r="D125" s="8"/>
      <c r="E125" s="15"/>
      <c r="F125" s="15"/>
      <c r="G125" s="15"/>
      <c r="H125" s="15"/>
      <c r="I125" s="15"/>
      <c r="J125" s="20"/>
      <c r="K125" s="8"/>
      <c r="L125" s="8"/>
    </row>
    <row r="126" spans="1:12" ht="15.75" thickBot="1">
      <c r="A126" s="8">
        <v>40</v>
      </c>
      <c r="B126" s="8" t="s">
        <v>33</v>
      </c>
      <c r="C126" s="8" t="s">
        <v>12</v>
      </c>
      <c r="D126" s="27">
        <v>8013.83</v>
      </c>
      <c r="E126" s="28">
        <v>767.01</v>
      </c>
      <c r="F126" s="28">
        <v>620.78</v>
      </c>
      <c r="G126" s="28">
        <v>246.72</v>
      </c>
      <c r="H126" s="28">
        <v>167.47</v>
      </c>
      <c r="I126" s="28">
        <v>0</v>
      </c>
      <c r="J126" s="29">
        <f>SUM(D126:I126)</f>
        <v>9815.81</v>
      </c>
      <c r="K126" s="8"/>
      <c r="L126" s="8"/>
    </row>
    <row r="127" spans="1:12">
      <c r="A127" s="8"/>
      <c r="B127" s="8"/>
      <c r="C127" s="8"/>
      <c r="D127" s="8"/>
      <c r="E127" s="24"/>
      <c r="F127" s="24"/>
      <c r="G127" s="24"/>
      <c r="H127" s="24"/>
      <c r="I127" s="24"/>
      <c r="J127" s="25"/>
      <c r="K127" s="8"/>
      <c r="L127" s="8"/>
    </row>
    <row r="128" spans="1:12" ht="15.75" thickBot="1">
      <c r="A128" s="8"/>
      <c r="B128" s="8"/>
      <c r="C128" s="8" t="s">
        <v>10</v>
      </c>
      <c r="D128" s="30">
        <f t="shared" ref="D128:I128" si="18">SUM(D126:D127)</f>
        <v>8013.83</v>
      </c>
      <c r="E128" s="30">
        <f t="shared" si="18"/>
        <v>767.01</v>
      </c>
      <c r="F128" s="30">
        <f t="shared" si="18"/>
        <v>620.78</v>
      </c>
      <c r="G128" s="30">
        <f t="shared" si="18"/>
        <v>246.72</v>
      </c>
      <c r="H128" s="30">
        <f t="shared" si="18"/>
        <v>167.47</v>
      </c>
      <c r="I128" s="30">
        <f t="shared" si="18"/>
        <v>0</v>
      </c>
      <c r="J128" s="31">
        <f>SUM(D128:I128)</f>
        <v>9815.81</v>
      </c>
      <c r="K128" s="8"/>
      <c r="L128" s="8"/>
    </row>
    <row r="129" spans="1:12" ht="15.75" thickTop="1">
      <c r="A129" s="8"/>
      <c r="B129" s="8"/>
      <c r="C129" s="8"/>
      <c r="D129" s="8"/>
      <c r="E129" s="15"/>
      <c r="F129" s="15"/>
      <c r="G129" s="15"/>
      <c r="H129" s="15"/>
      <c r="I129" s="15"/>
      <c r="J129" s="20"/>
      <c r="K129" s="8"/>
      <c r="L129" s="8"/>
    </row>
    <row r="130" spans="1:12">
      <c r="A130" s="8"/>
      <c r="B130" s="8"/>
      <c r="C130" s="8"/>
      <c r="D130" s="8"/>
      <c r="E130" s="15"/>
      <c r="F130" s="15"/>
      <c r="G130" s="15"/>
      <c r="H130" s="15"/>
      <c r="I130" s="15"/>
      <c r="J130" s="20"/>
      <c r="K130" s="8"/>
      <c r="L130" s="8"/>
    </row>
    <row r="131" spans="1:12">
      <c r="A131" s="8">
        <v>41</v>
      </c>
      <c r="B131" s="8" t="s">
        <v>34</v>
      </c>
      <c r="C131" s="8" t="s">
        <v>12</v>
      </c>
      <c r="D131" s="8">
        <v>7128.94</v>
      </c>
      <c r="E131" s="15">
        <v>206.36</v>
      </c>
      <c r="F131" s="15">
        <v>58.23</v>
      </c>
      <c r="G131" s="15">
        <v>1.71</v>
      </c>
      <c r="H131" s="15">
        <v>0</v>
      </c>
      <c r="I131" s="15">
        <v>0</v>
      </c>
      <c r="J131" s="20">
        <f>SUM(D131:I131)</f>
        <v>7395.2399999999989</v>
      </c>
      <c r="K131" s="8"/>
      <c r="L131" s="8"/>
    </row>
    <row r="132" spans="1:12" ht="15.75" thickBot="1">
      <c r="A132" s="8"/>
      <c r="B132" s="8"/>
      <c r="C132" s="8" t="s">
        <v>35</v>
      </c>
      <c r="D132" s="27">
        <v>343.45</v>
      </c>
      <c r="E132" s="28">
        <v>9.93</v>
      </c>
      <c r="F132" s="28">
        <v>2.78</v>
      </c>
      <c r="G132" s="28">
        <v>0</v>
      </c>
      <c r="H132" s="28">
        <v>0</v>
      </c>
      <c r="I132" s="28">
        <v>0</v>
      </c>
      <c r="J132" s="29">
        <f>SUM(D132:I132)</f>
        <v>356.15999999999997</v>
      </c>
      <c r="K132" s="8"/>
      <c r="L132" s="8"/>
    </row>
    <row r="133" spans="1:12">
      <c r="A133" s="8"/>
      <c r="B133" s="8"/>
      <c r="C133" s="8"/>
      <c r="D133" s="8"/>
      <c r="E133" s="15"/>
      <c r="F133" s="15"/>
      <c r="G133" s="15"/>
      <c r="H133" s="15"/>
      <c r="I133" s="15"/>
      <c r="J133" s="20"/>
      <c r="K133" s="8"/>
      <c r="L133" s="8"/>
    </row>
    <row r="134" spans="1:12" ht="15.75" thickBot="1">
      <c r="A134" s="8"/>
      <c r="B134" s="8"/>
      <c r="C134" s="8" t="s">
        <v>10</v>
      </c>
      <c r="D134" s="30">
        <f t="shared" ref="D134:I134" si="19">SUM(D131:D132)</f>
        <v>7472.3899999999994</v>
      </c>
      <c r="E134" s="30">
        <f t="shared" si="19"/>
        <v>216.29000000000002</v>
      </c>
      <c r="F134" s="30">
        <f t="shared" si="19"/>
        <v>61.01</v>
      </c>
      <c r="G134" s="30">
        <f t="shared" si="19"/>
        <v>1.71</v>
      </c>
      <c r="H134" s="30">
        <f t="shared" si="19"/>
        <v>0</v>
      </c>
      <c r="I134" s="30">
        <f t="shared" si="19"/>
        <v>0</v>
      </c>
      <c r="J134" s="31">
        <f>SUM(D134:I134)</f>
        <v>7751.4</v>
      </c>
      <c r="K134" s="8"/>
      <c r="L134" s="8"/>
    </row>
    <row r="135" spans="1:12" ht="15.75" thickTop="1">
      <c r="A135" s="8"/>
      <c r="B135" s="8"/>
      <c r="C135" s="8"/>
      <c r="D135" s="8"/>
      <c r="E135" s="15"/>
      <c r="F135" s="15"/>
      <c r="G135" s="15"/>
      <c r="H135" s="15"/>
      <c r="I135" s="15"/>
      <c r="J135" s="20"/>
      <c r="K135" s="8"/>
      <c r="L135" s="8"/>
    </row>
    <row r="136" spans="1:12">
      <c r="A136" s="8"/>
      <c r="B136" s="8"/>
      <c r="C136" s="8"/>
      <c r="D136" s="8"/>
      <c r="E136" s="15"/>
      <c r="F136" s="15"/>
      <c r="G136" s="15"/>
      <c r="H136" s="15"/>
      <c r="I136" s="15"/>
      <c r="J136" s="20"/>
      <c r="K136" s="8"/>
      <c r="L136" s="8"/>
    </row>
    <row r="137" spans="1:12">
      <c r="A137" s="8">
        <v>42</v>
      </c>
      <c r="B137" s="8" t="s">
        <v>36</v>
      </c>
      <c r="C137" s="8" t="s">
        <v>12</v>
      </c>
      <c r="D137" s="8">
        <v>8682.08</v>
      </c>
      <c r="E137" s="15">
        <v>250.65</v>
      </c>
      <c r="F137" s="15">
        <v>95.31</v>
      </c>
      <c r="G137" s="15">
        <v>92.02</v>
      </c>
      <c r="H137" s="15">
        <v>0</v>
      </c>
      <c r="I137" s="15">
        <v>0</v>
      </c>
      <c r="J137" s="20">
        <f>SUM(D137:I137)</f>
        <v>9120.06</v>
      </c>
      <c r="K137" s="8"/>
      <c r="L137" s="8"/>
    </row>
    <row r="138" spans="1:12" ht="15.75" thickBot="1">
      <c r="A138" s="8"/>
      <c r="B138" s="8"/>
      <c r="C138" s="8" t="s">
        <v>13</v>
      </c>
      <c r="D138" s="27">
        <v>359.36</v>
      </c>
      <c r="E138" s="28">
        <v>6.03</v>
      </c>
      <c r="F138" s="28">
        <v>3.47</v>
      </c>
      <c r="G138" s="28">
        <v>3.04</v>
      </c>
      <c r="H138" s="28">
        <v>0</v>
      </c>
      <c r="I138" s="28">
        <v>0</v>
      </c>
      <c r="J138" s="29">
        <f>SUM(D138:I138)</f>
        <v>371.90000000000003</v>
      </c>
      <c r="K138" s="8"/>
      <c r="L138" s="8"/>
    </row>
    <row r="139" spans="1:12">
      <c r="A139" s="8"/>
      <c r="B139" s="8"/>
      <c r="C139" s="8"/>
      <c r="D139" s="8"/>
      <c r="E139" s="15"/>
      <c r="F139" s="15"/>
      <c r="G139" s="15"/>
      <c r="H139" s="15"/>
      <c r="I139" s="15"/>
      <c r="J139" s="20"/>
      <c r="K139" s="8"/>
      <c r="L139" s="8"/>
    </row>
    <row r="140" spans="1:12" ht="15.75" thickBot="1">
      <c r="A140" s="8"/>
      <c r="B140" s="8"/>
      <c r="C140" s="8" t="s">
        <v>10</v>
      </c>
      <c r="D140" s="30">
        <f t="shared" ref="D140:I140" si="20">SUM(D137:D138)</f>
        <v>9041.44</v>
      </c>
      <c r="E140" s="30">
        <f t="shared" si="20"/>
        <v>256.68</v>
      </c>
      <c r="F140" s="30">
        <f t="shared" si="20"/>
        <v>98.78</v>
      </c>
      <c r="G140" s="30">
        <f t="shared" si="20"/>
        <v>95.06</v>
      </c>
      <c r="H140" s="30">
        <f t="shared" si="20"/>
        <v>0</v>
      </c>
      <c r="I140" s="30">
        <f t="shared" si="20"/>
        <v>0</v>
      </c>
      <c r="J140" s="31">
        <f>SUM(D140:I140)</f>
        <v>9491.9600000000009</v>
      </c>
      <c r="K140" s="8"/>
      <c r="L140" s="8"/>
    </row>
    <row r="141" spans="1:12" ht="15.75" thickTop="1">
      <c r="A141" s="8"/>
      <c r="B141" s="8"/>
      <c r="C141" s="8"/>
      <c r="D141" s="8"/>
      <c r="E141" s="15"/>
      <c r="F141" s="15"/>
      <c r="G141" s="15"/>
      <c r="H141" s="15"/>
      <c r="I141" s="15"/>
      <c r="J141" s="20"/>
      <c r="K141" s="8"/>
      <c r="L141" s="8"/>
    </row>
    <row r="142" spans="1:12">
      <c r="A142" s="8"/>
      <c r="B142" s="8"/>
      <c r="C142" s="8"/>
      <c r="D142" s="8"/>
      <c r="E142" s="15"/>
      <c r="F142" s="15"/>
      <c r="G142" s="15"/>
      <c r="H142" s="15"/>
      <c r="I142" s="15"/>
      <c r="J142" s="20"/>
      <c r="K142" s="8"/>
      <c r="L142" s="8"/>
    </row>
    <row r="143" spans="1:12">
      <c r="A143" s="8">
        <v>43</v>
      </c>
      <c r="B143" s="8" t="s">
        <v>37</v>
      </c>
      <c r="C143" s="8" t="s">
        <v>12</v>
      </c>
      <c r="D143" s="8">
        <v>6897.69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20">
        <f>SUM(D143:I143)</f>
        <v>6897.69</v>
      </c>
      <c r="K143" s="8"/>
      <c r="L143" s="8"/>
    </row>
    <row r="144" spans="1:12">
      <c r="A144" s="8"/>
      <c r="B144" s="8"/>
      <c r="C144" s="8" t="s">
        <v>35</v>
      </c>
      <c r="D144" s="8">
        <v>369.28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20">
        <f>SUM(D144:I144)</f>
        <v>369.28</v>
      </c>
      <c r="K144" s="8"/>
      <c r="L144" s="8"/>
    </row>
    <row r="145" spans="1:12">
      <c r="A145" s="8"/>
      <c r="B145" s="8"/>
      <c r="C145" s="8" t="s">
        <v>13</v>
      </c>
      <c r="D145" s="8">
        <v>528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20">
        <f>SUM(D145:I145)</f>
        <v>528</v>
      </c>
      <c r="K145" s="8"/>
      <c r="L145" s="8"/>
    </row>
    <row r="146" spans="1:12" ht="15.75" thickBot="1">
      <c r="A146" s="8"/>
      <c r="B146" s="8"/>
      <c r="C146" s="8" t="s">
        <v>78</v>
      </c>
      <c r="D146" s="27">
        <v>1107.6600000000001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9">
        <f>SUM(D146:I146)</f>
        <v>1107.6600000000001</v>
      </c>
      <c r="K146" s="8"/>
      <c r="L146" s="8"/>
    </row>
    <row r="147" spans="1:12">
      <c r="A147" s="8"/>
      <c r="B147" s="8"/>
      <c r="C147" s="8"/>
      <c r="D147" s="8"/>
      <c r="E147" s="15"/>
      <c r="F147" s="15"/>
      <c r="G147" s="15"/>
      <c r="H147" s="15"/>
      <c r="I147" s="15"/>
      <c r="J147" s="20"/>
      <c r="K147" s="8"/>
      <c r="L147" s="8"/>
    </row>
    <row r="148" spans="1:12" ht="15.75" thickBot="1">
      <c r="A148" s="8"/>
      <c r="B148" s="8"/>
      <c r="C148" s="8" t="s">
        <v>10</v>
      </c>
      <c r="D148" s="30">
        <f t="shared" ref="D148:I148" si="21">SUM(D143:D146)</f>
        <v>8902.6299999999992</v>
      </c>
      <c r="E148" s="30">
        <f t="shared" si="21"/>
        <v>0</v>
      </c>
      <c r="F148" s="30">
        <f t="shared" si="21"/>
        <v>0</v>
      </c>
      <c r="G148" s="30">
        <f t="shared" si="21"/>
        <v>0</v>
      </c>
      <c r="H148" s="30">
        <f t="shared" si="21"/>
        <v>0</v>
      </c>
      <c r="I148" s="30">
        <f t="shared" si="21"/>
        <v>0</v>
      </c>
      <c r="J148" s="31">
        <f>SUM(D148:I148)</f>
        <v>8902.6299999999992</v>
      </c>
      <c r="K148" s="8"/>
      <c r="L148" s="8"/>
    </row>
    <row r="149" spans="1:12" ht="15.75" thickTop="1">
      <c r="A149" s="8"/>
      <c r="B149" s="8"/>
      <c r="C149" s="8"/>
      <c r="D149" s="8"/>
      <c r="E149" s="15"/>
      <c r="F149" s="15"/>
      <c r="G149" s="15"/>
      <c r="H149" s="15"/>
      <c r="I149" s="15"/>
      <c r="J149" s="20"/>
      <c r="K149" s="8"/>
      <c r="L149" s="8"/>
    </row>
    <row r="150" spans="1:12">
      <c r="A150" s="8"/>
      <c r="B150" s="8"/>
      <c r="C150" s="8"/>
      <c r="D150" s="8"/>
      <c r="E150" s="15"/>
      <c r="F150" s="15"/>
      <c r="G150" s="15"/>
      <c r="H150" s="15"/>
      <c r="I150" s="15"/>
      <c r="J150" s="20"/>
      <c r="K150" s="8"/>
      <c r="L150" s="8"/>
    </row>
    <row r="151" spans="1:12" ht="15.75" thickBot="1">
      <c r="A151" s="8">
        <v>44</v>
      </c>
      <c r="B151" s="8" t="s">
        <v>38</v>
      </c>
      <c r="C151" s="8" t="s">
        <v>12</v>
      </c>
      <c r="D151" s="27">
        <v>10939.91</v>
      </c>
      <c r="E151" s="28">
        <v>291.14999999999998</v>
      </c>
      <c r="F151" s="28">
        <v>93.96</v>
      </c>
      <c r="G151" s="28">
        <v>88.16</v>
      </c>
      <c r="H151" s="28">
        <v>86.41</v>
      </c>
      <c r="I151" s="28">
        <v>0</v>
      </c>
      <c r="J151" s="29">
        <f>SUM(D151:I151)</f>
        <v>11499.589999999998</v>
      </c>
      <c r="K151" s="8"/>
      <c r="L151" s="8"/>
    </row>
    <row r="152" spans="1:12">
      <c r="A152" s="8"/>
      <c r="B152" s="8"/>
      <c r="C152" s="8"/>
      <c r="D152" s="8"/>
      <c r="E152" s="24"/>
      <c r="F152" s="24"/>
      <c r="G152" s="24"/>
      <c r="H152" s="24"/>
      <c r="I152" s="24"/>
      <c r="J152" s="25"/>
      <c r="K152" s="8"/>
      <c r="L152" s="8"/>
    </row>
    <row r="153" spans="1:12" ht="15.75" thickBot="1">
      <c r="A153" s="8"/>
      <c r="B153" s="8"/>
      <c r="C153" s="8" t="s">
        <v>10</v>
      </c>
      <c r="D153" s="30">
        <f t="shared" ref="D153:I153" si="22">SUM(D151:D152)</f>
        <v>10939.91</v>
      </c>
      <c r="E153" s="30">
        <f t="shared" si="22"/>
        <v>291.14999999999998</v>
      </c>
      <c r="F153" s="30">
        <f t="shared" si="22"/>
        <v>93.96</v>
      </c>
      <c r="G153" s="30">
        <f t="shared" si="22"/>
        <v>88.16</v>
      </c>
      <c r="H153" s="30">
        <f t="shared" si="22"/>
        <v>86.41</v>
      </c>
      <c r="I153" s="30">
        <f t="shared" si="22"/>
        <v>0</v>
      </c>
      <c r="J153" s="31">
        <f>SUM(D153:I153)</f>
        <v>11499.589999999998</v>
      </c>
      <c r="K153" s="8"/>
      <c r="L153" s="8"/>
    </row>
    <row r="154" spans="1:12" ht="15.75" thickTop="1">
      <c r="A154" s="8"/>
      <c r="B154" s="8"/>
      <c r="C154" s="8"/>
      <c r="D154" s="8"/>
      <c r="E154" s="15"/>
      <c r="F154" s="15" t="s">
        <v>70</v>
      </c>
      <c r="G154" s="15" t="s">
        <v>70</v>
      </c>
      <c r="H154" s="15" t="s">
        <v>70</v>
      </c>
      <c r="I154" s="15"/>
      <c r="J154" s="20"/>
      <c r="K154" s="8"/>
      <c r="L154" s="8"/>
    </row>
    <row r="155" spans="1:12">
      <c r="A155" s="8"/>
      <c r="B155" s="8"/>
      <c r="C155" s="8"/>
      <c r="D155" s="8"/>
      <c r="E155" s="15"/>
      <c r="F155" s="15"/>
      <c r="G155" s="15"/>
      <c r="H155" s="15"/>
      <c r="I155" s="15"/>
      <c r="J155" s="20"/>
      <c r="K155" s="8"/>
      <c r="L155" s="8"/>
    </row>
    <row r="156" spans="1:12" ht="15.75" thickBot="1">
      <c r="A156" s="8">
        <v>45</v>
      </c>
      <c r="B156" s="8" t="s">
        <v>39</v>
      </c>
      <c r="C156" s="8" t="s">
        <v>12</v>
      </c>
      <c r="D156" s="27">
        <v>5900.48</v>
      </c>
      <c r="E156" s="28">
        <v>228.14</v>
      </c>
      <c r="F156" s="28">
        <v>141.38</v>
      </c>
      <c r="G156" s="28">
        <v>120.16</v>
      </c>
      <c r="H156" s="28">
        <v>0</v>
      </c>
      <c r="I156" s="28">
        <v>0</v>
      </c>
      <c r="J156" s="29">
        <f>SUM(D156:I156)</f>
        <v>6390.16</v>
      </c>
      <c r="K156" s="8"/>
      <c r="L156" s="8"/>
    </row>
    <row r="157" spans="1:12">
      <c r="A157" s="8"/>
      <c r="B157" s="8"/>
      <c r="C157" s="8"/>
      <c r="D157" s="8"/>
      <c r="E157" s="24"/>
      <c r="F157" s="24"/>
      <c r="G157" s="24"/>
      <c r="H157" s="24"/>
      <c r="I157" s="24"/>
      <c r="J157" s="25"/>
      <c r="K157" s="8"/>
      <c r="L157" s="8"/>
    </row>
    <row r="158" spans="1:12" ht="15.75" thickBot="1">
      <c r="A158" s="8"/>
      <c r="B158" s="8"/>
      <c r="C158" s="8" t="s">
        <v>10</v>
      </c>
      <c r="D158" s="30">
        <f t="shared" ref="D158:I158" si="23">SUM(D156:D157)</f>
        <v>5900.48</v>
      </c>
      <c r="E158" s="30">
        <f t="shared" si="23"/>
        <v>228.14</v>
      </c>
      <c r="F158" s="30">
        <f t="shared" si="23"/>
        <v>141.38</v>
      </c>
      <c r="G158" s="30">
        <f t="shared" si="23"/>
        <v>120.16</v>
      </c>
      <c r="H158" s="30">
        <f t="shared" si="23"/>
        <v>0</v>
      </c>
      <c r="I158" s="30">
        <f t="shared" si="23"/>
        <v>0</v>
      </c>
      <c r="J158" s="31">
        <f>SUM(D158:I158)</f>
        <v>6390.16</v>
      </c>
      <c r="K158" s="8"/>
      <c r="L158" s="8"/>
    </row>
    <row r="159" spans="1:12" ht="15.75" thickTop="1">
      <c r="A159" s="8"/>
      <c r="B159" s="8"/>
      <c r="C159" s="8"/>
      <c r="D159" s="8"/>
      <c r="E159" s="15"/>
      <c r="F159" s="15"/>
      <c r="G159" s="15"/>
      <c r="H159" s="15"/>
      <c r="I159" s="15"/>
      <c r="J159" s="20"/>
      <c r="K159" s="8"/>
      <c r="L159" s="8"/>
    </row>
    <row r="160" spans="1:12">
      <c r="A160" s="8"/>
      <c r="B160" s="8"/>
      <c r="C160" s="8"/>
      <c r="D160" s="8"/>
      <c r="E160" s="15"/>
      <c r="F160" s="15"/>
      <c r="G160" s="15"/>
      <c r="H160" s="15"/>
      <c r="I160" s="15"/>
      <c r="J160" s="20"/>
      <c r="K160" s="8"/>
      <c r="L160" s="8"/>
    </row>
    <row r="161" spans="1:12" ht="15.75" thickBot="1">
      <c r="A161" s="8">
        <v>46</v>
      </c>
      <c r="B161" s="8" t="s">
        <v>40</v>
      </c>
      <c r="C161" s="8" t="s">
        <v>12</v>
      </c>
      <c r="D161" s="27">
        <v>4992.1400000000003</v>
      </c>
      <c r="E161" s="28">
        <v>216.48</v>
      </c>
      <c r="F161" s="28">
        <v>183.51</v>
      </c>
      <c r="G161" s="28">
        <v>0</v>
      </c>
      <c r="H161" s="28">
        <v>0</v>
      </c>
      <c r="I161" s="28">
        <v>0</v>
      </c>
      <c r="J161" s="29">
        <f>SUM(D161:I161)</f>
        <v>5392.13</v>
      </c>
      <c r="K161" s="8"/>
      <c r="L161" s="8"/>
    </row>
    <row r="162" spans="1:12">
      <c r="A162" s="8"/>
      <c r="B162" s="8"/>
      <c r="C162" s="8"/>
      <c r="D162" s="8"/>
      <c r="E162" s="24"/>
      <c r="F162" s="24"/>
      <c r="G162" s="24"/>
      <c r="H162" s="24"/>
      <c r="I162" s="24"/>
      <c r="J162" s="25"/>
      <c r="K162" s="8"/>
      <c r="L162" s="8"/>
    </row>
    <row r="163" spans="1:12" ht="15.75" thickBot="1">
      <c r="A163" s="8"/>
      <c r="B163" s="8"/>
      <c r="C163" s="8" t="s">
        <v>10</v>
      </c>
      <c r="D163" s="30">
        <f t="shared" ref="D163:I163" si="24">SUM(D161:D162)</f>
        <v>4992.1400000000003</v>
      </c>
      <c r="E163" s="30">
        <f t="shared" si="24"/>
        <v>216.48</v>
      </c>
      <c r="F163" s="30">
        <f t="shared" si="24"/>
        <v>183.51</v>
      </c>
      <c r="G163" s="30">
        <f t="shared" si="24"/>
        <v>0</v>
      </c>
      <c r="H163" s="30">
        <f t="shared" si="24"/>
        <v>0</v>
      </c>
      <c r="I163" s="30">
        <f t="shared" si="24"/>
        <v>0</v>
      </c>
      <c r="J163" s="31">
        <f>SUM(D163:I163)</f>
        <v>5392.13</v>
      </c>
      <c r="K163" s="8"/>
      <c r="L163" s="8"/>
    </row>
    <row r="164" spans="1:12" ht="15.75" thickTop="1">
      <c r="A164" s="8"/>
      <c r="B164" s="8"/>
      <c r="C164" s="8"/>
      <c r="D164" s="8"/>
      <c r="E164" s="15"/>
      <c r="F164" s="15"/>
      <c r="G164" s="15"/>
      <c r="H164" s="15"/>
      <c r="I164" s="15"/>
      <c r="J164" s="20"/>
      <c r="K164" s="8"/>
      <c r="L164" s="8"/>
    </row>
    <row r="165" spans="1:12">
      <c r="A165" s="8"/>
      <c r="B165" s="8"/>
      <c r="C165" s="8"/>
      <c r="D165" s="8"/>
      <c r="E165" s="15"/>
      <c r="F165" s="15"/>
      <c r="G165" s="15"/>
      <c r="H165" s="15"/>
      <c r="I165" s="15"/>
      <c r="J165" s="20"/>
      <c r="K165" s="8"/>
      <c r="L165" s="8"/>
    </row>
    <row r="166" spans="1:12" ht="15.75" thickBot="1">
      <c r="A166" s="8">
        <v>47</v>
      </c>
      <c r="B166" s="8" t="s">
        <v>41</v>
      </c>
      <c r="C166" s="8" t="s">
        <v>12</v>
      </c>
      <c r="D166" s="27">
        <v>5519.51</v>
      </c>
      <c r="E166" s="28">
        <v>816.4</v>
      </c>
      <c r="F166" s="28">
        <v>494.45</v>
      </c>
      <c r="G166" s="28">
        <v>425.16</v>
      </c>
      <c r="H166" s="28">
        <v>159.88</v>
      </c>
      <c r="I166" s="28">
        <v>0</v>
      </c>
      <c r="J166" s="29">
        <f>SUM(D166:I166)</f>
        <v>7415.4</v>
      </c>
      <c r="K166" s="8"/>
      <c r="L166" s="8"/>
    </row>
    <row r="167" spans="1:12">
      <c r="A167" s="8"/>
      <c r="B167" s="8"/>
      <c r="C167" s="8"/>
      <c r="D167" s="8"/>
      <c r="E167" s="24"/>
      <c r="F167" s="24"/>
      <c r="G167" s="24"/>
      <c r="H167" s="24"/>
      <c r="I167" s="24"/>
      <c r="J167" s="25"/>
      <c r="K167" s="8"/>
      <c r="L167" s="8"/>
    </row>
    <row r="168" spans="1:12" ht="15.75" thickBot="1">
      <c r="A168" s="8"/>
      <c r="B168" s="8"/>
      <c r="C168" s="8" t="s">
        <v>10</v>
      </c>
      <c r="D168" s="30">
        <f t="shared" ref="D168:I168" si="25">SUM(D166:D167)</f>
        <v>5519.51</v>
      </c>
      <c r="E168" s="30">
        <f t="shared" si="25"/>
        <v>816.4</v>
      </c>
      <c r="F168" s="30">
        <f t="shared" si="25"/>
        <v>494.45</v>
      </c>
      <c r="G168" s="30">
        <f t="shared" si="25"/>
        <v>425.16</v>
      </c>
      <c r="H168" s="30">
        <f t="shared" si="25"/>
        <v>159.88</v>
      </c>
      <c r="I168" s="30">
        <f t="shared" si="25"/>
        <v>0</v>
      </c>
      <c r="J168" s="31">
        <f>SUM(D168:I168)</f>
        <v>7415.4</v>
      </c>
      <c r="K168" s="8"/>
      <c r="L168" s="8"/>
    </row>
    <row r="169" spans="1:12" ht="15.75" thickTop="1">
      <c r="A169" s="8"/>
      <c r="B169" s="8"/>
      <c r="C169" s="8"/>
      <c r="D169" s="8"/>
      <c r="E169" s="15"/>
      <c r="F169" s="15"/>
      <c r="G169" s="15"/>
      <c r="H169" s="15"/>
      <c r="I169" s="15"/>
      <c r="J169" s="20"/>
      <c r="K169" s="8"/>
      <c r="L169" s="8"/>
    </row>
    <row r="170" spans="1:12">
      <c r="A170" s="8"/>
      <c r="B170" s="8"/>
      <c r="C170" s="8"/>
      <c r="D170" s="8"/>
      <c r="E170" s="15"/>
      <c r="F170" s="15"/>
      <c r="G170" s="15"/>
      <c r="H170" s="15"/>
      <c r="I170" s="15"/>
      <c r="J170" s="20"/>
      <c r="K170" s="8"/>
      <c r="L170" s="8"/>
    </row>
    <row r="171" spans="1:12" ht="15.75" thickBot="1">
      <c r="A171" s="8">
        <v>48</v>
      </c>
      <c r="B171" s="8" t="s">
        <v>42</v>
      </c>
      <c r="C171" s="8" t="s">
        <v>12</v>
      </c>
      <c r="D171" s="27">
        <v>10781.27</v>
      </c>
      <c r="E171" s="28">
        <v>176.6</v>
      </c>
      <c r="F171" s="28">
        <v>94.8</v>
      </c>
      <c r="G171" s="28">
        <v>95.77</v>
      </c>
      <c r="H171" s="28">
        <v>0</v>
      </c>
      <c r="I171" s="28">
        <v>0</v>
      </c>
      <c r="J171" s="29">
        <f>SUM(D171:I171)</f>
        <v>11148.44</v>
      </c>
      <c r="K171" s="8"/>
      <c r="L171" s="8"/>
    </row>
    <row r="172" spans="1:12">
      <c r="A172" s="8"/>
      <c r="B172" s="8"/>
      <c r="C172" s="8"/>
      <c r="D172" s="8"/>
      <c r="E172" s="15"/>
      <c r="F172" s="15"/>
      <c r="G172" s="15"/>
      <c r="H172" s="15"/>
      <c r="I172" s="15"/>
      <c r="J172" s="20"/>
      <c r="K172" s="8"/>
      <c r="L172" s="8"/>
    </row>
    <row r="173" spans="1:12" ht="15.75" thickBot="1">
      <c r="A173" s="8"/>
      <c r="B173" s="8"/>
      <c r="C173" s="8" t="s">
        <v>10</v>
      </c>
      <c r="D173" s="30">
        <f t="shared" ref="D173:I173" si="26">SUM(D171:D172)</f>
        <v>10781.27</v>
      </c>
      <c r="E173" s="30">
        <f t="shared" si="26"/>
        <v>176.6</v>
      </c>
      <c r="F173" s="30">
        <f t="shared" si="26"/>
        <v>94.8</v>
      </c>
      <c r="G173" s="30">
        <f t="shared" si="26"/>
        <v>95.77</v>
      </c>
      <c r="H173" s="30">
        <f t="shared" si="26"/>
        <v>0</v>
      </c>
      <c r="I173" s="30">
        <f t="shared" si="26"/>
        <v>0</v>
      </c>
      <c r="J173" s="31">
        <f>SUM(D173:I173)</f>
        <v>11148.44</v>
      </c>
      <c r="K173" s="8"/>
      <c r="L173" s="8"/>
    </row>
    <row r="174" spans="1:12" ht="15.75" thickTop="1">
      <c r="A174" s="8"/>
      <c r="B174" s="8"/>
      <c r="C174" s="8"/>
      <c r="D174" s="8"/>
      <c r="E174" s="15"/>
      <c r="F174" s="15"/>
      <c r="G174" s="15"/>
      <c r="H174" s="15"/>
      <c r="I174" s="15"/>
      <c r="J174" s="20"/>
      <c r="K174" s="8"/>
      <c r="L174" s="8"/>
    </row>
    <row r="175" spans="1:12">
      <c r="A175" s="8"/>
      <c r="B175" s="8"/>
      <c r="C175" s="8"/>
      <c r="D175" s="8"/>
      <c r="E175" s="15"/>
      <c r="F175" s="15"/>
      <c r="G175" s="15"/>
      <c r="H175" s="15"/>
      <c r="I175" s="15"/>
      <c r="J175" s="20"/>
      <c r="K175" s="8"/>
      <c r="L175" s="8"/>
    </row>
    <row r="176" spans="1:12" ht="15.75" thickBot="1">
      <c r="A176" s="8">
        <v>49</v>
      </c>
      <c r="B176" s="8" t="s">
        <v>43</v>
      </c>
      <c r="C176" s="8" t="s">
        <v>12</v>
      </c>
      <c r="D176" s="27">
        <v>12364.77</v>
      </c>
      <c r="E176" s="28">
        <v>908.12</v>
      </c>
      <c r="F176" s="28">
        <v>427.73</v>
      </c>
      <c r="G176" s="28">
        <v>151.47999999999999</v>
      </c>
      <c r="H176" s="28">
        <v>152.02000000000001</v>
      </c>
      <c r="I176" s="28">
        <v>0</v>
      </c>
      <c r="J176" s="29">
        <f>SUM(D176:I176)</f>
        <v>14004.12</v>
      </c>
      <c r="K176" s="8"/>
      <c r="L176" s="8"/>
    </row>
    <row r="177" spans="1:12">
      <c r="A177" s="8"/>
      <c r="B177" s="8"/>
      <c r="C177" s="8"/>
      <c r="D177" s="8"/>
      <c r="E177" s="24"/>
      <c r="F177" s="24"/>
      <c r="G177" s="24"/>
      <c r="H177" s="24"/>
      <c r="I177" s="15"/>
      <c r="J177" s="25"/>
      <c r="K177" s="8"/>
      <c r="L177" s="8"/>
    </row>
    <row r="178" spans="1:12" ht="15.75" thickBot="1">
      <c r="A178" s="8"/>
      <c r="B178" s="8"/>
      <c r="C178" s="8" t="s">
        <v>10</v>
      </c>
      <c r="D178" s="30">
        <f t="shared" ref="D178:I178" si="27">SUM(D176:D177)</f>
        <v>12364.77</v>
      </c>
      <c r="E178" s="30">
        <f t="shared" si="27"/>
        <v>908.12</v>
      </c>
      <c r="F178" s="30">
        <f t="shared" si="27"/>
        <v>427.73</v>
      </c>
      <c r="G178" s="30">
        <f t="shared" si="27"/>
        <v>151.47999999999999</v>
      </c>
      <c r="H178" s="30">
        <f t="shared" si="27"/>
        <v>152.02000000000001</v>
      </c>
      <c r="I178" s="30">
        <f t="shared" si="27"/>
        <v>0</v>
      </c>
      <c r="J178" s="31">
        <f>SUM(D178:I178)</f>
        <v>14004.12</v>
      </c>
      <c r="K178" s="8"/>
      <c r="L178" s="8"/>
    </row>
    <row r="179" spans="1:12" ht="15.75" thickTop="1">
      <c r="A179" s="8"/>
      <c r="B179" s="8"/>
      <c r="C179" s="8"/>
      <c r="D179" s="8"/>
      <c r="E179" s="15"/>
      <c r="F179" s="15"/>
      <c r="G179" s="15"/>
      <c r="H179" s="15"/>
      <c r="I179" s="15"/>
      <c r="J179" s="20"/>
      <c r="K179" s="8"/>
      <c r="L179" s="8"/>
    </row>
    <row r="180" spans="1:12">
      <c r="A180" s="8"/>
      <c r="B180" s="8"/>
      <c r="C180" s="8"/>
      <c r="D180" s="8"/>
      <c r="E180" s="15"/>
      <c r="F180" s="15"/>
      <c r="G180" s="15"/>
      <c r="H180" s="15"/>
      <c r="I180" s="15"/>
      <c r="J180" s="20"/>
      <c r="K180" s="8"/>
      <c r="L180" s="8"/>
    </row>
    <row r="181" spans="1:12">
      <c r="A181" s="8">
        <v>50</v>
      </c>
      <c r="B181" s="8" t="s">
        <v>44</v>
      </c>
      <c r="C181" s="8" t="s">
        <v>12</v>
      </c>
      <c r="D181" s="8">
        <v>3292.55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20">
        <f>SUM(D181:I181)</f>
        <v>3292.55</v>
      </c>
      <c r="K181" s="8"/>
      <c r="L181" s="8"/>
    </row>
    <row r="182" spans="1:12" ht="15.75" thickBot="1">
      <c r="A182" s="8"/>
      <c r="B182" s="8"/>
      <c r="C182" s="8" t="s">
        <v>13</v>
      </c>
      <c r="D182" s="33">
        <v>81.599999999999994</v>
      </c>
      <c r="E182" s="28">
        <v>0</v>
      </c>
      <c r="F182" s="28">
        <v>0</v>
      </c>
      <c r="G182" s="28">
        <v>0</v>
      </c>
      <c r="H182" s="28">
        <v>0</v>
      </c>
      <c r="I182" s="28">
        <v>0</v>
      </c>
      <c r="J182" s="29">
        <f>SUM(D182:I182)</f>
        <v>81.599999999999994</v>
      </c>
      <c r="K182" s="8"/>
      <c r="L182" s="8"/>
    </row>
    <row r="183" spans="1:12">
      <c r="A183" s="8"/>
      <c r="B183" s="8"/>
      <c r="C183" s="8"/>
      <c r="D183" s="8"/>
      <c r="E183" s="15"/>
      <c r="F183" s="15"/>
      <c r="G183" s="15"/>
      <c r="H183" s="15"/>
      <c r="I183" s="15"/>
      <c r="J183" s="20"/>
      <c r="K183" s="8"/>
      <c r="L183" s="8"/>
    </row>
    <row r="184" spans="1:12" ht="15.75" thickBot="1">
      <c r="A184" s="8"/>
      <c r="B184" s="8"/>
      <c r="C184" s="8" t="s">
        <v>10</v>
      </c>
      <c r="D184" s="30">
        <f t="shared" ref="D184:I184" si="28">SUM(D181:D182)</f>
        <v>3374.15</v>
      </c>
      <c r="E184" s="30">
        <f t="shared" si="28"/>
        <v>0</v>
      </c>
      <c r="F184" s="30">
        <f t="shared" si="28"/>
        <v>0</v>
      </c>
      <c r="G184" s="30">
        <f t="shared" si="28"/>
        <v>0</v>
      </c>
      <c r="H184" s="30">
        <f t="shared" si="28"/>
        <v>0</v>
      </c>
      <c r="I184" s="30">
        <f t="shared" si="28"/>
        <v>0</v>
      </c>
      <c r="J184" s="31">
        <f>SUM(D184:I184)</f>
        <v>3374.15</v>
      </c>
      <c r="K184" s="8"/>
      <c r="L184" s="8"/>
    </row>
    <row r="185" spans="1:12" ht="15.75" thickTop="1">
      <c r="A185" s="8"/>
      <c r="B185" s="8"/>
      <c r="C185" s="8"/>
      <c r="D185" s="8"/>
      <c r="E185" s="15"/>
      <c r="F185" s="15"/>
      <c r="G185" s="15"/>
      <c r="H185" s="15"/>
      <c r="I185" s="15"/>
      <c r="J185" s="20"/>
      <c r="K185" s="8"/>
      <c r="L185" s="8"/>
    </row>
    <row r="186" spans="1:12">
      <c r="A186" s="8"/>
      <c r="B186" s="8"/>
      <c r="C186" s="8"/>
      <c r="D186" s="8"/>
      <c r="E186" s="15"/>
      <c r="F186" s="15"/>
      <c r="G186" s="15"/>
      <c r="H186" s="15"/>
      <c r="I186" s="15"/>
      <c r="J186" s="20"/>
      <c r="K186" s="8"/>
      <c r="L186" s="8"/>
    </row>
    <row r="187" spans="1:12">
      <c r="A187" s="8">
        <v>51</v>
      </c>
      <c r="B187" s="8" t="s">
        <v>45</v>
      </c>
      <c r="C187" s="8" t="s">
        <v>12</v>
      </c>
      <c r="D187" s="8">
        <v>13265.92</v>
      </c>
      <c r="E187" s="15">
        <v>707.47</v>
      </c>
      <c r="F187" s="15">
        <v>307.81</v>
      </c>
      <c r="G187" s="15">
        <v>277.54000000000002</v>
      </c>
      <c r="H187" s="15">
        <v>34.18</v>
      </c>
      <c r="I187" s="15">
        <v>0</v>
      </c>
      <c r="J187" s="20">
        <f>SUM(D187:I187)</f>
        <v>14592.92</v>
      </c>
      <c r="K187" s="8"/>
      <c r="L187" s="8"/>
    </row>
    <row r="188" spans="1:12">
      <c r="A188" s="8"/>
      <c r="B188" s="8"/>
      <c r="C188" s="8" t="s">
        <v>13</v>
      </c>
      <c r="D188" s="26">
        <v>0</v>
      </c>
      <c r="E188" s="15">
        <v>0</v>
      </c>
      <c r="F188" s="15">
        <v>0</v>
      </c>
      <c r="G188" s="15">
        <v>0</v>
      </c>
      <c r="H188" s="15">
        <v>2.21</v>
      </c>
      <c r="I188" s="15">
        <v>0</v>
      </c>
      <c r="J188" s="20">
        <f>SUM(D188:I188)</f>
        <v>2.21</v>
      </c>
      <c r="K188" s="8"/>
      <c r="L188" s="8"/>
    </row>
    <row r="189" spans="1:12" ht="15.75" thickBot="1">
      <c r="A189" s="8"/>
      <c r="B189" s="8"/>
      <c r="C189" s="8" t="s">
        <v>46</v>
      </c>
      <c r="D189" s="27">
        <v>271.14999999999998</v>
      </c>
      <c r="E189" s="28">
        <v>14.39</v>
      </c>
      <c r="F189" s="28">
        <v>6.48</v>
      </c>
      <c r="G189" s="28">
        <v>5.76</v>
      </c>
      <c r="H189" s="28">
        <v>0.59</v>
      </c>
      <c r="I189" s="28">
        <v>0</v>
      </c>
      <c r="J189" s="29">
        <f>SUM(D189:I189)</f>
        <v>298.36999999999995</v>
      </c>
      <c r="K189" s="8"/>
      <c r="L189" s="8"/>
    </row>
    <row r="190" spans="1:12">
      <c r="A190" s="8"/>
      <c r="B190" s="8"/>
      <c r="C190" s="8"/>
      <c r="D190" s="8"/>
      <c r="E190" s="15"/>
      <c r="F190" s="15"/>
      <c r="G190" s="15"/>
      <c r="H190" s="15"/>
      <c r="I190" s="15"/>
      <c r="J190" s="20"/>
      <c r="K190" s="8"/>
      <c r="L190" s="8"/>
    </row>
    <row r="191" spans="1:12" ht="15.75" thickBot="1">
      <c r="A191" s="8"/>
      <c r="B191" s="8"/>
      <c r="C191" s="8" t="s">
        <v>10</v>
      </c>
      <c r="D191" s="30">
        <f t="shared" ref="D191:I191" si="29">SUM(D187:D189)</f>
        <v>13537.07</v>
      </c>
      <c r="E191" s="30">
        <f t="shared" si="29"/>
        <v>721.86</v>
      </c>
      <c r="F191" s="30">
        <f t="shared" si="29"/>
        <v>314.29000000000002</v>
      </c>
      <c r="G191" s="30">
        <f t="shared" si="29"/>
        <v>283.3</v>
      </c>
      <c r="H191" s="30">
        <f t="shared" si="29"/>
        <v>36.980000000000004</v>
      </c>
      <c r="I191" s="30">
        <f t="shared" si="29"/>
        <v>0</v>
      </c>
      <c r="J191" s="31">
        <f>SUM(D191:I191)</f>
        <v>14893.5</v>
      </c>
      <c r="K191" s="8"/>
      <c r="L191" s="8"/>
    </row>
    <row r="192" spans="1:12" ht="15.75" thickTop="1">
      <c r="A192" s="8"/>
      <c r="B192" s="8"/>
      <c r="C192" s="8"/>
      <c r="D192" s="8"/>
      <c r="E192" s="15"/>
      <c r="F192" s="15"/>
      <c r="G192" s="15"/>
      <c r="H192" s="15"/>
      <c r="I192" s="15"/>
      <c r="J192" s="20"/>
      <c r="K192" s="8"/>
      <c r="L192" s="8"/>
    </row>
    <row r="193" spans="1:12">
      <c r="A193" s="8"/>
      <c r="B193" s="8"/>
      <c r="C193" s="8"/>
      <c r="D193" s="8"/>
      <c r="E193" s="15"/>
      <c r="F193" s="15"/>
      <c r="G193" s="15"/>
      <c r="H193" s="15"/>
      <c r="I193" s="15"/>
      <c r="J193" s="20"/>
      <c r="K193" s="8"/>
      <c r="L193" s="8"/>
    </row>
    <row r="194" spans="1:12">
      <c r="A194" s="8">
        <v>52</v>
      </c>
      <c r="B194" s="8" t="s">
        <v>47</v>
      </c>
      <c r="C194" s="8" t="s">
        <v>12</v>
      </c>
      <c r="D194" s="26">
        <v>9717.5</v>
      </c>
      <c r="E194" s="15">
        <v>123.46</v>
      </c>
      <c r="F194" s="15">
        <v>0</v>
      </c>
      <c r="G194" s="15">
        <v>0</v>
      </c>
      <c r="H194" s="15">
        <v>0</v>
      </c>
      <c r="I194" s="15">
        <v>0</v>
      </c>
      <c r="J194" s="20">
        <f>SUM(D194:I194)</f>
        <v>9840.9599999999991</v>
      </c>
      <c r="K194" s="8"/>
      <c r="L194" s="8"/>
    </row>
    <row r="195" spans="1:12" ht="15.75" thickBot="1">
      <c r="A195" s="8"/>
      <c r="B195" s="8"/>
      <c r="C195" s="8" t="s">
        <v>13</v>
      </c>
      <c r="D195" s="33">
        <v>0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34">
        <v>0</v>
      </c>
      <c r="K195" s="8"/>
      <c r="L195" s="8"/>
    </row>
    <row r="196" spans="1:12">
      <c r="A196" s="8"/>
      <c r="B196" s="8"/>
      <c r="C196" s="8"/>
      <c r="D196" s="8"/>
      <c r="E196" s="15"/>
      <c r="F196" s="15"/>
      <c r="G196" s="15"/>
      <c r="H196" s="15"/>
      <c r="I196" s="15"/>
      <c r="J196" s="20"/>
      <c r="K196" s="8"/>
      <c r="L196" s="8"/>
    </row>
    <row r="197" spans="1:12" ht="15.75" thickBot="1">
      <c r="A197" s="8"/>
      <c r="B197" s="8"/>
      <c r="C197" s="8" t="s">
        <v>10</v>
      </c>
      <c r="D197" s="30">
        <f t="shared" ref="D197:I197" si="30">SUM(D194:D195)</f>
        <v>9717.5</v>
      </c>
      <c r="E197" s="30">
        <f t="shared" si="30"/>
        <v>123.46</v>
      </c>
      <c r="F197" s="30">
        <f t="shared" si="30"/>
        <v>0</v>
      </c>
      <c r="G197" s="30">
        <f t="shared" si="30"/>
        <v>0</v>
      </c>
      <c r="H197" s="30">
        <f t="shared" si="30"/>
        <v>0</v>
      </c>
      <c r="I197" s="30">
        <f t="shared" si="30"/>
        <v>0</v>
      </c>
      <c r="J197" s="31">
        <f>SUM(D197:I197)</f>
        <v>9840.9599999999991</v>
      </c>
      <c r="K197" s="8"/>
      <c r="L197" s="8"/>
    </row>
    <row r="198" spans="1:12" ht="15.75" thickTop="1">
      <c r="A198" s="8"/>
      <c r="B198" s="8"/>
      <c r="C198" s="8"/>
      <c r="D198" s="8"/>
      <c r="E198" s="15"/>
      <c r="F198" s="15"/>
      <c r="G198" s="15"/>
      <c r="H198" s="15"/>
      <c r="I198" s="15"/>
      <c r="J198" s="20"/>
      <c r="K198" s="8"/>
      <c r="L198" s="8"/>
    </row>
    <row r="199" spans="1:12">
      <c r="A199" s="8"/>
      <c r="B199" s="8"/>
      <c r="C199" s="8"/>
      <c r="D199" s="8"/>
      <c r="E199" s="15"/>
      <c r="F199" s="15"/>
      <c r="G199" s="15"/>
      <c r="H199" s="15"/>
      <c r="I199" s="15"/>
      <c r="J199" s="20"/>
      <c r="K199" s="8"/>
      <c r="L199" s="8"/>
    </row>
    <row r="200" spans="1:12">
      <c r="A200" s="8">
        <v>53</v>
      </c>
      <c r="B200" s="8" t="s">
        <v>48</v>
      </c>
      <c r="C200" s="8" t="s">
        <v>12</v>
      </c>
      <c r="D200" s="8">
        <v>13946.96</v>
      </c>
      <c r="E200" s="15">
        <v>434.76</v>
      </c>
      <c r="F200" s="15">
        <v>201.42</v>
      </c>
      <c r="G200" s="15">
        <v>177.86</v>
      </c>
      <c r="H200" s="15">
        <v>159.12</v>
      </c>
      <c r="I200" s="15">
        <v>81.39</v>
      </c>
      <c r="J200" s="20">
        <f>SUM(D200:I200)</f>
        <v>15001.51</v>
      </c>
      <c r="K200" s="8"/>
      <c r="L200" s="8"/>
    </row>
    <row r="201" spans="1:12" ht="15.75" thickBot="1">
      <c r="A201" s="8"/>
      <c r="B201" s="8"/>
      <c r="C201" s="8" t="s">
        <v>35</v>
      </c>
      <c r="D201" s="27">
        <v>600.77</v>
      </c>
      <c r="E201" s="28">
        <v>19.03</v>
      </c>
      <c r="F201" s="28">
        <v>8.58</v>
      </c>
      <c r="G201" s="28">
        <v>7.89</v>
      </c>
      <c r="H201" s="28">
        <v>7.01</v>
      </c>
      <c r="I201" s="28">
        <v>3.61</v>
      </c>
      <c r="J201" s="29">
        <f>SUM(D201:I201)</f>
        <v>646.89</v>
      </c>
      <c r="K201" s="8"/>
      <c r="L201" s="8"/>
    </row>
    <row r="202" spans="1:12">
      <c r="A202" s="8"/>
      <c r="B202" s="8"/>
      <c r="C202" s="8"/>
      <c r="D202" s="8"/>
      <c r="E202" s="15"/>
      <c r="F202" s="15"/>
      <c r="G202" s="15"/>
      <c r="H202" s="15"/>
      <c r="I202" s="15"/>
      <c r="J202" s="20"/>
      <c r="K202" s="8"/>
      <c r="L202" s="8"/>
    </row>
    <row r="203" spans="1:12" ht="15.75" thickBot="1">
      <c r="A203" s="8"/>
      <c r="B203" s="8"/>
      <c r="C203" s="8" t="s">
        <v>10</v>
      </c>
      <c r="D203" s="30">
        <f t="shared" ref="D203:I203" si="31">SUM(D200:D201)</f>
        <v>14547.73</v>
      </c>
      <c r="E203" s="30">
        <f t="shared" si="31"/>
        <v>453.78999999999996</v>
      </c>
      <c r="F203" s="30">
        <f t="shared" si="31"/>
        <v>210</v>
      </c>
      <c r="G203" s="30">
        <f t="shared" si="31"/>
        <v>185.75</v>
      </c>
      <c r="H203" s="30">
        <f t="shared" si="31"/>
        <v>166.13</v>
      </c>
      <c r="I203" s="30">
        <f t="shared" si="31"/>
        <v>85</v>
      </c>
      <c r="J203" s="31">
        <f>SUM(D203:I203)</f>
        <v>15648.4</v>
      </c>
      <c r="K203" s="8"/>
      <c r="L203" s="8"/>
    </row>
    <row r="204" spans="1:12" ht="15.75" thickTop="1">
      <c r="A204" s="8"/>
      <c r="B204" s="8"/>
      <c r="C204" s="8"/>
      <c r="D204" s="8"/>
      <c r="E204" s="15"/>
      <c r="F204" s="15"/>
      <c r="G204" s="15"/>
      <c r="H204" s="15"/>
      <c r="I204" s="15"/>
      <c r="J204" s="20"/>
      <c r="K204" s="8"/>
      <c r="L204" s="8"/>
    </row>
    <row r="205" spans="1:12">
      <c r="A205" s="8"/>
      <c r="B205" s="8"/>
      <c r="C205" s="8"/>
      <c r="D205" s="8"/>
      <c r="E205" s="15"/>
      <c r="F205" s="15"/>
      <c r="G205" s="15"/>
      <c r="H205" s="15"/>
      <c r="I205" s="15"/>
      <c r="J205" s="20"/>
      <c r="K205" s="8"/>
      <c r="L205" s="8"/>
    </row>
    <row r="206" spans="1:12" ht="15.75" thickBot="1">
      <c r="A206" s="8">
        <v>54</v>
      </c>
      <c r="B206" s="8" t="s">
        <v>49</v>
      </c>
      <c r="C206" s="8" t="s">
        <v>12</v>
      </c>
      <c r="D206" s="27">
        <v>8141.26</v>
      </c>
      <c r="E206" s="28">
        <v>94.26</v>
      </c>
      <c r="F206" s="28">
        <v>10.65</v>
      </c>
      <c r="G206" s="28">
        <v>0</v>
      </c>
      <c r="H206" s="28">
        <v>0</v>
      </c>
      <c r="I206" s="28">
        <v>0</v>
      </c>
      <c r="J206" s="29">
        <f>SUM(D206:I206)</f>
        <v>8246.17</v>
      </c>
      <c r="K206" s="8"/>
      <c r="L206" s="8"/>
    </row>
    <row r="207" spans="1:12">
      <c r="A207" s="8"/>
      <c r="B207" s="8"/>
      <c r="C207" s="8"/>
      <c r="D207" s="8"/>
      <c r="E207" s="24"/>
      <c r="F207" s="24"/>
      <c r="G207" s="24"/>
      <c r="H207" s="24"/>
      <c r="I207" s="24"/>
      <c r="J207" s="25"/>
      <c r="K207" s="8"/>
      <c r="L207" s="8"/>
    </row>
    <row r="208" spans="1:12" ht="15.75" thickBot="1">
      <c r="A208" s="8"/>
      <c r="B208" s="8"/>
      <c r="C208" s="8" t="s">
        <v>10</v>
      </c>
      <c r="D208" s="30">
        <f t="shared" ref="D208:I208" si="32">SUM(D206:D207)</f>
        <v>8141.26</v>
      </c>
      <c r="E208" s="30">
        <f t="shared" si="32"/>
        <v>94.26</v>
      </c>
      <c r="F208" s="30">
        <f t="shared" si="32"/>
        <v>10.65</v>
      </c>
      <c r="G208" s="30">
        <f t="shared" si="32"/>
        <v>0</v>
      </c>
      <c r="H208" s="30">
        <f t="shared" si="32"/>
        <v>0</v>
      </c>
      <c r="I208" s="30">
        <f t="shared" si="32"/>
        <v>0</v>
      </c>
      <c r="J208" s="31">
        <f>SUM(D208:I208)</f>
        <v>8246.17</v>
      </c>
      <c r="K208" s="8"/>
      <c r="L208" s="8"/>
    </row>
    <row r="209" spans="1:12" ht="15.75" thickTop="1">
      <c r="A209" s="8"/>
      <c r="B209" s="8"/>
      <c r="C209" s="8"/>
      <c r="D209" s="8"/>
      <c r="E209" s="15"/>
      <c r="F209" s="15"/>
      <c r="G209" s="15"/>
      <c r="H209" s="15"/>
      <c r="I209" s="15"/>
      <c r="J209" s="20"/>
      <c r="K209" s="8"/>
      <c r="L209" s="8"/>
    </row>
    <row r="210" spans="1:12">
      <c r="A210" s="8"/>
      <c r="B210" s="8"/>
      <c r="C210" s="8"/>
      <c r="D210" s="8"/>
      <c r="E210" s="15"/>
      <c r="F210" s="15"/>
      <c r="G210" s="15"/>
      <c r="H210" s="15"/>
      <c r="I210" s="15"/>
      <c r="J210" s="20"/>
      <c r="K210" s="8"/>
      <c r="L210" s="8"/>
    </row>
    <row r="211" spans="1:12">
      <c r="A211" s="8">
        <v>55</v>
      </c>
      <c r="B211" s="8" t="s">
        <v>50</v>
      </c>
      <c r="C211" s="8" t="s">
        <v>12</v>
      </c>
      <c r="D211" s="8">
        <v>12714.63</v>
      </c>
      <c r="E211" s="15">
        <v>414.01</v>
      </c>
      <c r="F211" s="15">
        <v>250.63</v>
      </c>
      <c r="G211" s="15">
        <v>146.13</v>
      </c>
      <c r="H211" s="15">
        <v>0.82</v>
      </c>
      <c r="I211" s="15">
        <v>0</v>
      </c>
      <c r="J211" s="20">
        <f>SUM(D211:I211)</f>
        <v>13526.219999999998</v>
      </c>
      <c r="K211" s="8"/>
      <c r="L211" s="8"/>
    </row>
    <row r="212" spans="1:12" ht="15.75" thickBot="1">
      <c r="A212" s="8"/>
      <c r="B212" s="8"/>
      <c r="C212" s="8" t="s">
        <v>13</v>
      </c>
      <c r="D212" s="27">
        <v>459.06</v>
      </c>
      <c r="E212" s="28">
        <v>15.86</v>
      </c>
      <c r="F212" s="28">
        <v>10.07</v>
      </c>
      <c r="G212" s="28">
        <v>5.48</v>
      </c>
      <c r="H212" s="28">
        <v>0.1</v>
      </c>
      <c r="I212" s="28">
        <v>0</v>
      </c>
      <c r="J212" s="29">
        <f>SUM(D212:I212)</f>
        <v>490.57000000000005</v>
      </c>
      <c r="K212" s="8"/>
      <c r="L212" s="8"/>
    </row>
    <row r="213" spans="1:12">
      <c r="A213" s="8"/>
      <c r="B213" s="8"/>
      <c r="C213" s="8"/>
      <c r="D213" s="8"/>
      <c r="E213" s="15"/>
      <c r="F213" s="15"/>
      <c r="G213" s="15"/>
      <c r="H213" s="15"/>
      <c r="I213" s="15"/>
      <c r="J213" s="20"/>
      <c r="K213" s="8"/>
      <c r="L213" s="8"/>
    </row>
    <row r="214" spans="1:12" ht="15.75" thickBot="1">
      <c r="A214" s="8"/>
      <c r="B214" s="8"/>
      <c r="C214" s="8" t="s">
        <v>10</v>
      </c>
      <c r="D214" s="30">
        <f t="shared" ref="D214:I214" si="33">SUM(D211:D212)</f>
        <v>13173.689999999999</v>
      </c>
      <c r="E214" s="30">
        <f t="shared" si="33"/>
        <v>429.87</v>
      </c>
      <c r="F214" s="30">
        <f t="shared" si="33"/>
        <v>260.7</v>
      </c>
      <c r="G214" s="30">
        <f t="shared" si="33"/>
        <v>151.60999999999999</v>
      </c>
      <c r="H214" s="30">
        <f t="shared" si="33"/>
        <v>0.91999999999999993</v>
      </c>
      <c r="I214" s="30">
        <f t="shared" si="33"/>
        <v>0</v>
      </c>
      <c r="J214" s="31">
        <f>SUM(D214:I214)</f>
        <v>14016.79</v>
      </c>
      <c r="K214" s="8"/>
      <c r="L214" s="8"/>
    </row>
    <row r="215" spans="1:12" ht="15.75" thickTop="1">
      <c r="A215" s="8"/>
      <c r="B215" s="8"/>
      <c r="C215" s="8"/>
      <c r="D215" s="8"/>
      <c r="E215" s="15"/>
      <c r="F215" s="15"/>
      <c r="G215" s="15"/>
      <c r="H215" s="15"/>
      <c r="I215" s="15"/>
      <c r="J215" s="20"/>
      <c r="K215" s="8"/>
      <c r="L215" s="8"/>
    </row>
    <row r="216" spans="1:12">
      <c r="A216" s="8"/>
      <c r="B216" s="8"/>
      <c r="C216" s="8"/>
      <c r="D216" s="8"/>
      <c r="E216" s="15"/>
      <c r="F216" s="15"/>
      <c r="G216" s="15"/>
      <c r="H216" s="15"/>
      <c r="I216" s="15"/>
      <c r="J216" s="20"/>
      <c r="K216" s="8"/>
      <c r="L216" s="8"/>
    </row>
    <row r="217" spans="1:12">
      <c r="A217" s="8">
        <v>56</v>
      </c>
      <c r="B217" s="8" t="s">
        <v>51</v>
      </c>
      <c r="C217" s="8" t="s">
        <v>12</v>
      </c>
      <c r="D217" s="8">
        <v>7478.76</v>
      </c>
      <c r="E217" s="15">
        <v>72.89</v>
      </c>
      <c r="F217" s="15">
        <v>29.37</v>
      </c>
      <c r="G217" s="15">
        <v>0</v>
      </c>
      <c r="H217" s="15">
        <v>0</v>
      </c>
      <c r="I217" s="15">
        <v>0</v>
      </c>
      <c r="J217" s="20">
        <f>SUM(D217:I217)</f>
        <v>7581.02</v>
      </c>
      <c r="K217" s="8"/>
      <c r="L217" s="8"/>
    </row>
    <row r="218" spans="1:12" ht="15.75" thickBot="1">
      <c r="A218" s="8"/>
      <c r="B218" s="8"/>
      <c r="C218" s="8" t="s">
        <v>13</v>
      </c>
      <c r="D218" s="27">
        <v>149.21</v>
      </c>
      <c r="E218" s="28">
        <v>1.27</v>
      </c>
      <c r="F218" s="28">
        <v>1.37</v>
      </c>
      <c r="G218" s="28">
        <v>0</v>
      </c>
      <c r="H218" s="28">
        <v>0</v>
      </c>
      <c r="I218" s="28">
        <v>0</v>
      </c>
      <c r="J218" s="29">
        <f>SUM(D218:I218)</f>
        <v>151.85000000000002</v>
      </c>
      <c r="K218" s="8"/>
      <c r="L218" s="8"/>
    </row>
    <row r="219" spans="1:12">
      <c r="A219" s="8"/>
      <c r="B219" s="8"/>
      <c r="C219" s="8"/>
      <c r="D219" s="8"/>
      <c r="E219" s="15"/>
      <c r="F219" s="15"/>
      <c r="G219" s="15"/>
      <c r="H219" s="15"/>
      <c r="I219" s="15"/>
      <c r="J219" s="20"/>
      <c r="K219" s="8"/>
      <c r="L219" s="8"/>
    </row>
    <row r="220" spans="1:12" ht="15.75" thickBot="1">
      <c r="A220" s="8"/>
      <c r="B220" s="8"/>
      <c r="C220" s="8" t="s">
        <v>10</v>
      </c>
      <c r="D220" s="30">
        <f t="shared" ref="D220:I220" si="34">SUM(D217:D218)</f>
        <v>7627.97</v>
      </c>
      <c r="E220" s="30">
        <f t="shared" si="34"/>
        <v>74.16</v>
      </c>
      <c r="F220" s="30">
        <f t="shared" si="34"/>
        <v>30.740000000000002</v>
      </c>
      <c r="G220" s="30">
        <f t="shared" si="34"/>
        <v>0</v>
      </c>
      <c r="H220" s="30">
        <f t="shared" si="34"/>
        <v>0</v>
      </c>
      <c r="I220" s="30">
        <f t="shared" si="34"/>
        <v>0</v>
      </c>
      <c r="J220" s="31">
        <f>SUM(D220:I220)</f>
        <v>7732.87</v>
      </c>
      <c r="K220" s="8"/>
      <c r="L220" s="8"/>
    </row>
    <row r="221" spans="1:12" ht="15.75" thickTop="1">
      <c r="A221" s="8"/>
      <c r="B221" s="8"/>
      <c r="C221" s="8"/>
      <c r="D221" s="8"/>
      <c r="E221" s="15"/>
      <c r="F221" s="15"/>
      <c r="G221" s="15"/>
      <c r="H221" s="15"/>
      <c r="I221" s="15"/>
      <c r="J221" s="20"/>
      <c r="K221" s="8"/>
      <c r="L221" s="8"/>
    </row>
    <row r="222" spans="1:12">
      <c r="A222" s="8"/>
      <c r="B222" s="8"/>
      <c r="C222" s="8"/>
      <c r="D222" s="8"/>
      <c r="E222" s="15"/>
      <c r="F222" s="15"/>
      <c r="G222" s="15"/>
      <c r="H222" s="15"/>
      <c r="I222" s="15"/>
      <c r="J222" s="20"/>
      <c r="K222" s="8"/>
      <c r="L222" s="8"/>
    </row>
    <row r="223" spans="1:12">
      <c r="A223" s="8">
        <v>57</v>
      </c>
      <c r="B223" s="8" t="s">
        <v>52</v>
      </c>
      <c r="C223" s="8" t="s">
        <v>12</v>
      </c>
      <c r="D223" s="8">
        <v>17110.78</v>
      </c>
      <c r="E223" s="15">
        <v>717.01</v>
      </c>
      <c r="F223" s="15">
        <v>185.96</v>
      </c>
      <c r="G223" s="15">
        <v>63.57</v>
      </c>
      <c r="H223" s="15">
        <v>58.93</v>
      </c>
      <c r="I223" s="15">
        <v>0</v>
      </c>
      <c r="J223" s="20">
        <f>SUM(D223:I223)</f>
        <v>18136.249999999996</v>
      </c>
      <c r="K223" s="8"/>
      <c r="L223" s="8"/>
    </row>
    <row r="224" spans="1:12" ht="15.75" thickBot="1">
      <c r="A224" s="8"/>
      <c r="B224" s="8"/>
      <c r="C224" s="8" t="s">
        <v>13</v>
      </c>
      <c r="D224" s="27">
        <v>543.42999999999995</v>
      </c>
      <c r="E224" s="28">
        <v>18.350000000000001</v>
      </c>
      <c r="F224" s="28">
        <v>6.5</v>
      </c>
      <c r="G224" s="28">
        <v>2.61</v>
      </c>
      <c r="H224" s="28">
        <v>1.46</v>
      </c>
      <c r="I224" s="28">
        <v>0</v>
      </c>
      <c r="J224" s="29">
        <f>SUM(D224:I224)</f>
        <v>572.35</v>
      </c>
      <c r="K224" s="8"/>
      <c r="L224" s="8"/>
    </row>
    <row r="225" spans="1:12">
      <c r="A225" s="8"/>
      <c r="B225" s="8"/>
      <c r="C225" s="8"/>
      <c r="D225" s="8"/>
      <c r="E225" s="15"/>
      <c r="F225" s="15"/>
      <c r="G225" s="15"/>
      <c r="H225" s="15"/>
      <c r="I225" s="15"/>
      <c r="J225" s="20"/>
      <c r="K225" s="8"/>
      <c r="L225" s="8"/>
    </row>
    <row r="226" spans="1:12" ht="15.75" thickBot="1">
      <c r="A226" s="8"/>
      <c r="B226" s="8"/>
      <c r="C226" s="8" t="s">
        <v>10</v>
      </c>
      <c r="D226" s="30">
        <f t="shared" ref="D226:I226" si="35">SUM(D223:D224)</f>
        <v>17654.21</v>
      </c>
      <c r="E226" s="30">
        <f t="shared" si="35"/>
        <v>735.36</v>
      </c>
      <c r="F226" s="30">
        <f t="shared" si="35"/>
        <v>192.46</v>
      </c>
      <c r="G226" s="30">
        <f t="shared" si="35"/>
        <v>66.180000000000007</v>
      </c>
      <c r="H226" s="30">
        <f t="shared" si="35"/>
        <v>60.39</v>
      </c>
      <c r="I226" s="30">
        <f t="shared" si="35"/>
        <v>0</v>
      </c>
      <c r="J226" s="31">
        <f>SUM(D226:I226)</f>
        <v>18708.599999999999</v>
      </c>
      <c r="K226" s="8"/>
      <c r="L226" s="8"/>
    </row>
    <row r="227" spans="1:12" ht="15.75" thickTop="1">
      <c r="A227" s="8"/>
      <c r="B227" s="8"/>
      <c r="C227" s="8"/>
      <c r="D227" s="8"/>
      <c r="E227" s="15"/>
      <c r="F227" s="15"/>
      <c r="G227" s="15"/>
      <c r="H227" s="15"/>
      <c r="I227" s="15"/>
      <c r="J227" s="20"/>
      <c r="K227" s="8"/>
      <c r="L227" s="8"/>
    </row>
    <row r="228" spans="1:12">
      <c r="A228" s="8"/>
      <c r="B228" s="8"/>
      <c r="C228" s="8"/>
      <c r="D228" s="8"/>
      <c r="E228" s="15"/>
      <c r="F228" s="15"/>
      <c r="G228" s="15"/>
      <c r="H228" s="15"/>
      <c r="I228" s="15"/>
      <c r="J228" s="20"/>
      <c r="K228" s="8"/>
      <c r="L228" s="8"/>
    </row>
    <row r="229" spans="1:12">
      <c r="A229" s="8">
        <v>58</v>
      </c>
      <c r="B229" s="8" t="s">
        <v>53</v>
      </c>
      <c r="C229" s="8" t="s">
        <v>12</v>
      </c>
      <c r="D229" s="8">
        <v>11273.43</v>
      </c>
      <c r="E229" s="15">
        <v>598.07000000000005</v>
      </c>
      <c r="F229" s="15">
        <v>218.07</v>
      </c>
      <c r="G229" s="15">
        <v>220.08</v>
      </c>
      <c r="H229" s="15">
        <v>0</v>
      </c>
      <c r="I229" s="15">
        <v>0</v>
      </c>
      <c r="J229" s="20">
        <f>SUM(D229:I229)</f>
        <v>12309.65</v>
      </c>
      <c r="K229" s="8"/>
      <c r="L229" s="8"/>
    </row>
    <row r="230" spans="1:12" ht="15.75" thickBot="1">
      <c r="A230" s="8"/>
      <c r="B230" s="8"/>
      <c r="C230" s="8" t="s">
        <v>13</v>
      </c>
      <c r="D230" s="33">
        <v>0</v>
      </c>
      <c r="E230" s="28">
        <v>0</v>
      </c>
      <c r="F230" s="28">
        <v>0</v>
      </c>
      <c r="G230" s="28">
        <v>0</v>
      </c>
      <c r="H230" s="28">
        <v>0</v>
      </c>
      <c r="I230" s="28">
        <v>0</v>
      </c>
      <c r="J230" s="34">
        <v>0</v>
      </c>
      <c r="K230" s="8"/>
      <c r="L230" s="8"/>
    </row>
    <row r="231" spans="1:12">
      <c r="A231" s="8"/>
      <c r="B231" s="8"/>
      <c r="C231" s="8"/>
      <c r="D231" s="8"/>
      <c r="E231" s="15"/>
      <c r="F231" s="15"/>
      <c r="G231" s="15"/>
      <c r="H231" s="15"/>
      <c r="I231" s="15"/>
      <c r="J231" s="20"/>
      <c r="K231" s="8"/>
      <c r="L231" s="8"/>
    </row>
    <row r="232" spans="1:12" ht="15.75" thickBot="1">
      <c r="A232" s="8"/>
      <c r="B232" s="8"/>
      <c r="C232" s="8" t="s">
        <v>10</v>
      </c>
      <c r="D232" s="30">
        <f t="shared" ref="D232:I232" si="36">SUM(D229:D230)</f>
        <v>11273.43</v>
      </c>
      <c r="E232" s="30">
        <f t="shared" si="36"/>
        <v>598.07000000000005</v>
      </c>
      <c r="F232" s="30">
        <f t="shared" si="36"/>
        <v>218.07</v>
      </c>
      <c r="G232" s="30">
        <f t="shared" si="36"/>
        <v>220.08</v>
      </c>
      <c r="H232" s="30">
        <f t="shared" si="36"/>
        <v>0</v>
      </c>
      <c r="I232" s="30">
        <f t="shared" si="36"/>
        <v>0</v>
      </c>
      <c r="J232" s="31">
        <f>SUM(D232:I232)</f>
        <v>12309.65</v>
      </c>
      <c r="K232" s="8"/>
      <c r="L232" s="8"/>
    </row>
    <row r="233" spans="1:12" ht="15.75" thickTop="1">
      <c r="A233" s="8"/>
      <c r="B233" s="8"/>
      <c r="C233" s="8"/>
      <c r="D233" s="8"/>
      <c r="E233" s="15"/>
      <c r="F233" s="15"/>
      <c r="G233" s="15"/>
      <c r="H233" s="15"/>
      <c r="I233" s="15"/>
      <c r="J233" s="20"/>
      <c r="K233" s="8"/>
      <c r="L233" s="8"/>
    </row>
    <row r="234" spans="1:12">
      <c r="A234" s="8"/>
      <c r="B234" s="8"/>
      <c r="C234" s="8"/>
      <c r="D234" s="8"/>
      <c r="E234" s="15"/>
      <c r="F234" s="15"/>
      <c r="G234" s="15"/>
      <c r="H234" s="15"/>
      <c r="I234" s="15"/>
      <c r="J234" s="20"/>
      <c r="K234" s="8"/>
      <c r="L234" s="8"/>
    </row>
    <row r="235" spans="1:12">
      <c r="A235" s="8">
        <v>59</v>
      </c>
      <c r="B235" s="8" t="s">
        <v>54</v>
      </c>
      <c r="C235" s="8" t="s">
        <v>12</v>
      </c>
      <c r="D235" s="8">
        <v>12217.54</v>
      </c>
      <c r="E235" s="15">
        <v>544.97</v>
      </c>
      <c r="F235" s="15">
        <v>48.44</v>
      </c>
      <c r="G235" s="15">
        <v>33.85</v>
      </c>
      <c r="H235" s="15">
        <v>31.62</v>
      </c>
      <c r="I235" s="15">
        <v>0</v>
      </c>
      <c r="J235" s="20">
        <f>SUM(D235:I235)</f>
        <v>12876.420000000002</v>
      </c>
      <c r="K235" s="8"/>
      <c r="L235" s="8"/>
    </row>
    <row r="236" spans="1:12" ht="15.75" thickBot="1">
      <c r="A236" s="8"/>
      <c r="B236" s="8"/>
      <c r="C236" s="8" t="s">
        <v>35</v>
      </c>
      <c r="D236" s="27">
        <v>708.99</v>
      </c>
      <c r="E236" s="28">
        <v>0</v>
      </c>
      <c r="F236" s="28">
        <v>3.14</v>
      </c>
      <c r="G236" s="28">
        <v>2.38</v>
      </c>
      <c r="H236" s="28">
        <v>2.25</v>
      </c>
      <c r="I236" s="28">
        <v>0</v>
      </c>
      <c r="J236" s="29">
        <f>SUM(D236:I236)</f>
        <v>716.76</v>
      </c>
      <c r="K236" s="8"/>
      <c r="L236" s="8"/>
    </row>
    <row r="237" spans="1:12">
      <c r="A237" s="8"/>
      <c r="B237" s="8"/>
      <c r="C237" s="8"/>
      <c r="D237" s="8"/>
      <c r="E237" s="15"/>
      <c r="F237" s="15"/>
      <c r="G237" s="15"/>
      <c r="H237" s="15"/>
      <c r="I237" s="15"/>
      <c r="J237" s="20"/>
      <c r="K237" s="8"/>
      <c r="L237" s="8"/>
    </row>
    <row r="238" spans="1:12" ht="15.75" thickBot="1">
      <c r="A238" s="8"/>
      <c r="B238" s="8"/>
      <c r="C238" s="8" t="s">
        <v>10</v>
      </c>
      <c r="D238" s="30">
        <f t="shared" ref="D238:I238" si="37">SUM(D235:D236)</f>
        <v>12926.53</v>
      </c>
      <c r="E238" s="30">
        <f t="shared" si="37"/>
        <v>544.97</v>
      </c>
      <c r="F238" s="30">
        <f t="shared" si="37"/>
        <v>51.58</v>
      </c>
      <c r="G238" s="30">
        <f t="shared" si="37"/>
        <v>36.230000000000004</v>
      </c>
      <c r="H238" s="30">
        <f t="shared" si="37"/>
        <v>33.870000000000005</v>
      </c>
      <c r="I238" s="30">
        <f t="shared" si="37"/>
        <v>0</v>
      </c>
      <c r="J238" s="31">
        <f>SUM(D238:I238)</f>
        <v>13593.18</v>
      </c>
      <c r="K238" s="8"/>
      <c r="L238" s="8"/>
    </row>
    <row r="239" spans="1:12" ht="15.75" thickTop="1">
      <c r="A239" s="8"/>
      <c r="B239" s="8"/>
      <c r="C239" s="8"/>
      <c r="D239" s="8"/>
      <c r="E239" s="15"/>
      <c r="F239" s="15"/>
      <c r="G239" s="15"/>
      <c r="H239" s="15"/>
      <c r="I239" s="15"/>
      <c r="J239" s="20"/>
      <c r="K239" s="8"/>
      <c r="L239" s="8"/>
    </row>
    <row r="240" spans="1:12">
      <c r="A240" s="8"/>
      <c r="B240" s="8"/>
      <c r="C240" s="8"/>
      <c r="D240" s="8"/>
      <c r="E240" s="15"/>
      <c r="F240" s="15"/>
      <c r="G240" s="15"/>
      <c r="H240" s="15"/>
      <c r="I240" s="15"/>
      <c r="J240" s="20"/>
      <c r="K240" s="8"/>
      <c r="L240" s="8"/>
    </row>
    <row r="241" spans="1:12" ht="15.75" thickBot="1">
      <c r="A241" s="8">
        <v>60</v>
      </c>
      <c r="B241" s="8" t="s">
        <v>55</v>
      </c>
      <c r="C241" s="8" t="s">
        <v>12</v>
      </c>
      <c r="D241" s="27">
        <v>44863.33</v>
      </c>
      <c r="E241" s="28">
        <v>691.06</v>
      </c>
      <c r="F241" s="28">
        <v>337.5</v>
      </c>
      <c r="G241" s="28">
        <v>133.52000000000001</v>
      </c>
      <c r="H241" s="28">
        <v>7.92</v>
      </c>
      <c r="I241" s="28">
        <v>7.41</v>
      </c>
      <c r="J241" s="29">
        <f>SUM(D241:I241)</f>
        <v>46040.74</v>
      </c>
      <c r="K241" s="8"/>
      <c r="L241" s="8"/>
    </row>
    <row r="242" spans="1:12">
      <c r="A242" s="8"/>
      <c r="B242" s="8"/>
      <c r="C242" s="8"/>
      <c r="D242" s="8"/>
      <c r="E242" s="15"/>
      <c r="F242" s="15"/>
      <c r="G242" s="15"/>
      <c r="H242" s="15"/>
      <c r="I242" s="15"/>
      <c r="J242" s="20"/>
      <c r="K242" s="8"/>
      <c r="L242" s="8"/>
    </row>
    <row r="243" spans="1:12" ht="15.75" thickBot="1">
      <c r="A243" s="8"/>
      <c r="B243" s="8"/>
      <c r="C243" s="8" t="s">
        <v>10</v>
      </c>
      <c r="D243" s="30">
        <f t="shared" ref="D243:I243" si="38">SUM(D241:D242)</f>
        <v>44863.33</v>
      </c>
      <c r="E243" s="30">
        <f t="shared" si="38"/>
        <v>691.06</v>
      </c>
      <c r="F243" s="30">
        <f t="shared" si="38"/>
        <v>337.5</v>
      </c>
      <c r="G243" s="30">
        <f t="shared" si="38"/>
        <v>133.52000000000001</v>
      </c>
      <c r="H243" s="30">
        <f t="shared" si="38"/>
        <v>7.92</v>
      </c>
      <c r="I243" s="30">
        <f t="shared" si="38"/>
        <v>7.41</v>
      </c>
      <c r="J243" s="31">
        <f>SUM(D243:I243)</f>
        <v>46040.74</v>
      </c>
      <c r="K243" s="8"/>
      <c r="L243" s="8"/>
    </row>
    <row r="244" spans="1:12" ht="15.75" thickTop="1">
      <c r="A244" s="8"/>
      <c r="B244" s="8"/>
      <c r="C244" s="8"/>
      <c r="D244" s="8"/>
      <c r="E244" s="15"/>
      <c r="F244" s="15"/>
      <c r="G244" s="15"/>
      <c r="H244" s="15"/>
      <c r="I244" s="15"/>
      <c r="J244" s="20"/>
      <c r="K244" s="8"/>
      <c r="L244" s="8"/>
    </row>
    <row r="245" spans="1:12">
      <c r="A245" s="8"/>
      <c r="B245" s="8"/>
      <c r="C245" s="8"/>
      <c r="D245" s="8"/>
      <c r="E245" s="15"/>
      <c r="F245" s="15"/>
      <c r="G245" s="15"/>
      <c r="H245" s="15"/>
      <c r="I245" s="15"/>
      <c r="J245" s="20"/>
      <c r="K245" s="8"/>
      <c r="L245" s="8"/>
    </row>
    <row r="246" spans="1:12">
      <c r="A246" s="8">
        <v>61</v>
      </c>
      <c r="B246" s="8" t="s">
        <v>56</v>
      </c>
      <c r="C246" s="8" t="s">
        <v>12</v>
      </c>
      <c r="D246" s="8">
        <v>9131.2900000000009</v>
      </c>
      <c r="E246" s="15">
        <v>79.66</v>
      </c>
      <c r="F246" s="15">
        <v>77.33</v>
      </c>
      <c r="G246" s="15">
        <v>0</v>
      </c>
      <c r="H246" s="15">
        <v>0</v>
      </c>
      <c r="I246" s="15">
        <v>0</v>
      </c>
      <c r="J246" s="20">
        <f>SUM(D246:I246)</f>
        <v>9288.2800000000007</v>
      </c>
      <c r="K246" s="8"/>
      <c r="L246" s="8"/>
    </row>
    <row r="247" spans="1:12" ht="15.75" thickBot="1">
      <c r="A247" s="8"/>
      <c r="B247" s="8"/>
      <c r="C247" s="8" t="s">
        <v>13</v>
      </c>
      <c r="D247" s="27">
        <v>156.08000000000001</v>
      </c>
      <c r="E247" s="28">
        <v>1.4</v>
      </c>
      <c r="F247" s="28">
        <v>1.03</v>
      </c>
      <c r="G247" s="28">
        <v>0</v>
      </c>
      <c r="H247" s="28">
        <v>0</v>
      </c>
      <c r="I247" s="28">
        <v>0</v>
      </c>
      <c r="J247" s="29">
        <f>SUM(D247:I247)</f>
        <v>158.51000000000002</v>
      </c>
      <c r="K247" s="8"/>
      <c r="L247" s="8"/>
    </row>
    <row r="248" spans="1:12">
      <c r="A248" s="8"/>
      <c r="B248" s="8"/>
      <c r="C248" s="8"/>
      <c r="D248" s="8"/>
      <c r="E248" s="15"/>
      <c r="F248" s="15"/>
      <c r="G248" s="15"/>
      <c r="H248" s="15"/>
      <c r="I248" s="15"/>
      <c r="J248" s="20"/>
      <c r="K248" s="8"/>
      <c r="L248" s="8"/>
    </row>
    <row r="249" spans="1:12" ht="15.75" thickBot="1">
      <c r="A249" s="8"/>
      <c r="B249" s="8"/>
      <c r="C249" s="8" t="s">
        <v>10</v>
      </c>
      <c r="D249" s="30">
        <f t="shared" ref="D249:I249" si="39">SUM(D246:D247)</f>
        <v>9287.3700000000008</v>
      </c>
      <c r="E249" s="30">
        <f t="shared" si="39"/>
        <v>81.06</v>
      </c>
      <c r="F249" s="30">
        <f t="shared" si="39"/>
        <v>78.36</v>
      </c>
      <c r="G249" s="30">
        <f t="shared" si="39"/>
        <v>0</v>
      </c>
      <c r="H249" s="30">
        <f t="shared" si="39"/>
        <v>0</v>
      </c>
      <c r="I249" s="30">
        <f t="shared" si="39"/>
        <v>0</v>
      </c>
      <c r="J249" s="31">
        <f>SUM(D249:I249)</f>
        <v>9446.7900000000009</v>
      </c>
      <c r="K249" s="8"/>
      <c r="L249" s="8"/>
    </row>
    <row r="250" spans="1:12" ht="15.75" thickTop="1">
      <c r="A250" s="8"/>
      <c r="B250" s="8"/>
      <c r="C250" s="8"/>
      <c r="D250" s="8"/>
      <c r="E250" s="15"/>
      <c r="F250" s="15"/>
      <c r="G250" s="15"/>
      <c r="H250" s="15"/>
      <c r="I250" s="15"/>
      <c r="J250" s="20"/>
      <c r="K250" s="8"/>
      <c r="L250" s="8"/>
    </row>
    <row r="251" spans="1:12">
      <c r="A251" s="8"/>
      <c r="B251" s="8"/>
      <c r="C251" s="8"/>
      <c r="D251" s="8"/>
      <c r="E251" s="15"/>
      <c r="F251" s="15"/>
      <c r="G251" s="15"/>
      <c r="H251" s="15"/>
      <c r="I251" s="15"/>
      <c r="J251" s="20"/>
      <c r="K251" s="8"/>
      <c r="L251" s="8"/>
    </row>
    <row r="252" spans="1:12">
      <c r="A252" s="8">
        <v>62</v>
      </c>
      <c r="B252" s="8" t="s">
        <v>57</v>
      </c>
      <c r="C252" s="8" t="s">
        <v>12</v>
      </c>
      <c r="D252" s="8">
        <v>4467.41</v>
      </c>
      <c r="E252" s="15">
        <v>166.66</v>
      </c>
      <c r="F252" s="15">
        <v>20.5</v>
      </c>
      <c r="G252" s="15">
        <v>0</v>
      </c>
      <c r="H252" s="15">
        <v>0</v>
      </c>
      <c r="I252" s="15">
        <v>0</v>
      </c>
      <c r="J252" s="20">
        <f>SUM(D252:I252)</f>
        <v>4654.57</v>
      </c>
      <c r="K252" s="8"/>
      <c r="L252" s="8"/>
    </row>
    <row r="253" spans="1:12" ht="15.75" thickBot="1">
      <c r="A253" s="8"/>
      <c r="B253" s="8"/>
      <c r="C253" s="8" t="s">
        <v>13</v>
      </c>
      <c r="D253" s="27">
        <v>96.67</v>
      </c>
      <c r="E253" s="28">
        <v>3.87</v>
      </c>
      <c r="F253" s="28">
        <v>0.42</v>
      </c>
      <c r="G253" s="28">
        <v>0</v>
      </c>
      <c r="H253" s="28">
        <v>0</v>
      </c>
      <c r="I253" s="28">
        <v>0</v>
      </c>
      <c r="J253" s="29">
        <f>SUM(D253:I253)</f>
        <v>100.96000000000001</v>
      </c>
      <c r="K253" s="8"/>
      <c r="L253" s="8"/>
    </row>
    <row r="254" spans="1:12">
      <c r="A254" s="8"/>
      <c r="B254" s="8"/>
      <c r="C254" s="8"/>
      <c r="D254" s="8"/>
      <c r="E254" s="15"/>
      <c r="F254" s="15"/>
      <c r="G254" s="15"/>
      <c r="H254" s="15"/>
      <c r="I254" s="15"/>
      <c r="J254" s="20"/>
      <c r="K254" s="8"/>
      <c r="L254" s="8"/>
    </row>
    <row r="255" spans="1:12" ht="15.75" thickBot="1">
      <c r="A255" s="8"/>
      <c r="B255" s="8"/>
      <c r="C255" s="8" t="s">
        <v>10</v>
      </c>
      <c r="D255" s="30">
        <f t="shared" ref="D255:I255" si="40">SUM(D252:D253)</f>
        <v>4564.08</v>
      </c>
      <c r="E255" s="30">
        <f t="shared" si="40"/>
        <v>170.53</v>
      </c>
      <c r="F255" s="30">
        <f t="shared" si="40"/>
        <v>20.92</v>
      </c>
      <c r="G255" s="30">
        <f t="shared" si="40"/>
        <v>0</v>
      </c>
      <c r="H255" s="30">
        <f t="shared" si="40"/>
        <v>0</v>
      </c>
      <c r="I255" s="30">
        <f t="shared" si="40"/>
        <v>0</v>
      </c>
      <c r="J255" s="31">
        <f>SUM(D255:I255)</f>
        <v>4755.53</v>
      </c>
      <c r="K255" s="8"/>
      <c r="L255" s="8"/>
    </row>
    <row r="256" spans="1:12" ht="15.75" thickTop="1">
      <c r="A256" s="8"/>
      <c r="B256" s="8"/>
      <c r="C256" s="8"/>
      <c r="D256" s="8"/>
      <c r="E256" s="15"/>
      <c r="F256" s="15"/>
      <c r="G256" s="15"/>
      <c r="H256" s="15"/>
      <c r="I256" s="15"/>
      <c r="J256" s="20"/>
      <c r="K256" s="8"/>
      <c r="L256" s="8"/>
    </row>
    <row r="257" spans="1:12">
      <c r="A257" s="8"/>
      <c r="B257" s="8"/>
      <c r="C257" s="8"/>
      <c r="D257" s="8"/>
      <c r="E257" s="15"/>
      <c r="F257" s="15"/>
      <c r="G257" s="15"/>
      <c r="H257" s="15"/>
      <c r="I257" s="15"/>
      <c r="J257" s="20"/>
      <c r="K257" s="8"/>
      <c r="L257" s="8"/>
    </row>
    <row r="258" spans="1:12">
      <c r="A258" s="8">
        <v>63</v>
      </c>
      <c r="B258" s="8" t="s">
        <v>58</v>
      </c>
      <c r="C258" s="8" t="s">
        <v>12</v>
      </c>
      <c r="D258" s="26">
        <v>7832.7</v>
      </c>
      <c r="E258" s="15">
        <v>168.07</v>
      </c>
      <c r="F258" s="15">
        <v>49.73</v>
      </c>
      <c r="G258" s="15">
        <v>49.4</v>
      </c>
      <c r="H258" s="15">
        <v>14.43</v>
      </c>
      <c r="I258" s="15">
        <v>0</v>
      </c>
      <c r="J258" s="20">
        <f>SUM(D258:I258)</f>
        <v>8114.329999999999</v>
      </c>
      <c r="K258" s="8"/>
      <c r="L258" s="8"/>
    </row>
    <row r="259" spans="1:12" ht="15.75" thickBot="1">
      <c r="A259" s="8"/>
      <c r="B259" s="8"/>
      <c r="C259" s="8" t="s">
        <v>13</v>
      </c>
      <c r="D259" s="27">
        <v>631.16999999999996</v>
      </c>
      <c r="E259" s="28">
        <v>13.87</v>
      </c>
      <c r="F259" s="28">
        <v>3.76</v>
      </c>
      <c r="G259" s="28">
        <v>3.81</v>
      </c>
      <c r="H259" s="28">
        <v>1.07</v>
      </c>
      <c r="I259" s="28">
        <v>0</v>
      </c>
      <c r="J259" s="29">
        <f>SUM(D259:I259)</f>
        <v>653.67999999999995</v>
      </c>
      <c r="K259" s="8"/>
      <c r="L259" s="8"/>
    </row>
    <row r="260" spans="1:12">
      <c r="A260" s="8"/>
      <c r="B260" s="8"/>
      <c r="C260" s="8"/>
      <c r="D260" s="8"/>
      <c r="E260" s="15"/>
      <c r="F260" s="15"/>
      <c r="G260" s="15"/>
      <c r="H260" s="15"/>
      <c r="I260" s="15"/>
      <c r="J260" s="20"/>
      <c r="K260" s="8"/>
      <c r="L260" s="8"/>
    </row>
    <row r="261" spans="1:12" ht="15.75" thickBot="1">
      <c r="A261" s="8"/>
      <c r="B261" s="8"/>
      <c r="C261" s="8" t="s">
        <v>10</v>
      </c>
      <c r="D261" s="30">
        <f t="shared" ref="D261:I261" si="41">SUM(D258:D259)</f>
        <v>8463.869999999999</v>
      </c>
      <c r="E261" s="30">
        <f t="shared" si="41"/>
        <v>181.94</v>
      </c>
      <c r="F261" s="30">
        <f t="shared" si="41"/>
        <v>53.489999999999995</v>
      </c>
      <c r="G261" s="30">
        <f t="shared" si="41"/>
        <v>53.21</v>
      </c>
      <c r="H261" s="30">
        <f t="shared" si="41"/>
        <v>15.5</v>
      </c>
      <c r="I261" s="30">
        <f t="shared" si="41"/>
        <v>0</v>
      </c>
      <c r="J261" s="31">
        <f>SUM(D261:I261)</f>
        <v>8768.0099999999984</v>
      </c>
      <c r="K261" s="8"/>
      <c r="L261" s="8"/>
    </row>
    <row r="262" spans="1:12" ht="15.75" thickTop="1">
      <c r="A262" s="8"/>
      <c r="B262" s="8"/>
      <c r="C262" s="8"/>
      <c r="D262" s="8"/>
      <c r="E262" s="15"/>
      <c r="F262" s="15"/>
      <c r="G262" s="15"/>
      <c r="H262" s="15"/>
      <c r="I262" s="15"/>
      <c r="J262" s="20"/>
      <c r="K262" s="8"/>
      <c r="L262" s="8"/>
    </row>
    <row r="263" spans="1:12">
      <c r="A263" s="8"/>
      <c r="B263" s="8"/>
      <c r="C263" s="8"/>
      <c r="D263" s="8"/>
      <c r="E263" s="15"/>
      <c r="F263" s="15"/>
      <c r="G263" s="15"/>
      <c r="H263" s="15"/>
      <c r="I263" s="15"/>
      <c r="J263" s="20"/>
      <c r="K263" s="8"/>
      <c r="L263" s="8"/>
    </row>
    <row r="264" spans="1:12" ht="15.75" thickBot="1">
      <c r="A264" s="8">
        <v>64</v>
      </c>
      <c r="B264" s="8" t="s">
        <v>59</v>
      </c>
      <c r="C264" s="8" t="s">
        <v>12</v>
      </c>
      <c r="D264" s="27">
        <v>58334.29</v>
      </c>
      <c r="E264" s="28">
        <v>1111.48</v>
      </c>
      <c r="F264" s="28">
        <v>685.6</v>
      </c>
      <c r="G264" s="28">
        <v>392.4</v>
      </c>
      <c r="H264" s="28">
        <v>103.38</v>
      </c>
      <c r="I264" s="28">
        <v>0</v>
      </c>
      <c r="J264" s="29">
        <f>SUM(D264:I264)</f>
        <v>60627.15</v>
      </c>
      <c r="K264" s="8"/>
      <c r="L264" s="8"/>
    </row>
    <row r="265" spans="1:12">
      <c r="A265" s="8"/>
      <c r="B265" s="8"/>
      <c r="C265" s="8"/>
      <c r="D265" s="8"/>
      <c r="E265" s="24"/>
      <c r="F265" s="24"/>
      <c r="G265" s="24"/>
      <c r="H265" s="24"/>
      <c r="I265" s="24"/>
      <c r="J265" s="25"/>
      <c r="K265" s="8"/>
      <c r="L265" s="8"/>
    </row>
    <row r="266" spans="1:12" ht="15.75" thickBot="1">
      <c r="A266" s="8"/>
      <c r="B266" s="8"/>
      <c r="C266" s="8" t="s">
        <v>10</v>
      </c>
      <c r="D266" s="30">
        <f t="shared" ref="D266:I266" si="42">SUM(D264:D265)</f>
        <v>58334.29</v>
      </c>
      <c r="E266" s="30">
        <f t="shared" si="42"/>
        <v>1111.48</v>
      </c>
      <c r="F266" s="30">
        <f t="shared" si="42"/>
        <v>685.6</v>
      </c>
      <c r="G266" s="30">
        <f t="shared" si="42"/>
        <v>392.4</v>
      </c>
      <c r="H266" s="30">
        <f t="shared" si="42"/>
        <v>103.38</v>
      </c>
      <c r="I266" s="30">
        <f t="shared" si="42"/>
        <v>0</v>
      </c>
      <c r="J266" s="31">
        <f>SUM(D266:I266)</f>
        <v>60627.15</v>
      </c>
      <c r="K266" s="8"/>
      <c r="L266" s="8"/>
    </row>
    <row r="267" spans="1:12" ht="15.75" thickTop="1">
      <c r="A267" s="8"/>
      <c r="B267" s="8"/>
      <c r="C267" s="8"/>
      <c r="D267" s="8"/>
      <c r="E267" s="15"/>
      <c r="F267" s="15"/>
      <c r="G267" s="15"/>
      <c r="H267" s="15"/>
      <c r="I267" s="15"/>
      <c r="J267" s="20"/>
      <c r="K267" s="8"/>
      <c r="L267" s="8"/>
    </row>
    <row r="268" spans="1:12">
      <c r="A268" s="8"/>
      <c r="B268" s="12"/>
      <c r="C268" s="12"/>
      <c r="D268" s="12"/>
      <c r="E268" s="16"/>
      <c r="F268" s="13"/>
      <c r="G268" s="13"/>
      <c r="H268" s="13"/>
      <c r="I268" s="13"/>
      <c r="J268" s="20"/>
      <c r="K268" s="8"/>
      <c r="L268" s="8"/>
    </row>
    <row r="269" spans="1:12">
      <c r="A269" s="8">
        <v>65</v>
      </c>
      <c r="B269" s="8" t="s">
        <v>60</v>
      </c>
      <c r="C269" s="8" t="s">
        <v>12</v>
      </c>
      <c r="D269" s="8">
        <v>6362.21</v>
      </c>
      <c r="E269" s="15">
        <v>1.52</v>
      </c>
      <c r="F269" s="15">
        <v>0</v>
      </c>
      <c r="G269" s="15">
        <v>0</v>
      </c>
      <c r="H269" s="15">
        <v>0</v>
      </c>
      <c r="I269" s="15">
        <v>0</v>
      </c>
      <c r="J269" s="20">
        <f>SUM(D269:I269)</f>
        <v>6363.7300000000005</v>
      </c>
      <c r="K269" s="8"/>
      <c r="L269" s="8"/>
    </row>
    <row r="270" spans="1:12" ht="15.75" thickBot="1">
      <c r="A270" s="8"/>
      <c r="B270" s="8"/>
      <c r="C270" s="8" t="s">
        <v>13</v>
      </c>
      <c r="D270" s="27"/>
      <c r="E270" s="28"/>
      <c r="F270" s="28"/>
      <c r="G270" s="28"/>
      <c r="H270" s="28"/>
      <c r="I270" s="28"/>
      <c r="J270" s="29"/>
      <c r="K270" s="8"/>
      <c r="L270" s="8"/>
    </row>
    <row r="271" spans="1:12">
      <c r="A271" s="8"/>
      <c r="B271" s="8"/>
      <c r="C271" s="8"/>
      <c r="D271" s="8"/>
      <c r="E271" s="15"/>
      <c r="F271" s="15"/>
      <c r="G271" s="15"/>
      <c r="H271" s="15"/>
      <c r="I271" s="15"/>
      <c r="J271" s="20"/>
      <c r="K271" s="8"/>
      <c r="L271" s="8"/>
    </row>
    <row r="272" spans="1:12" ht="15.75" thickBot="1">
      <c r="A272" s="8"/>
      <c r="B272" s="8"/>
      <c r="C272" s="8" t="s">
        <v>10</v>
      </c>
      <c r="D272" s="30">
        <f t="shared" ref="D272:I272" si="43">SUM(D269:D270)</f>
        <v>6362.21</v>
      </c>
      <c r="E272" s="30">
        <f t="shared" si="43"/>
        <v>1.52</v>
      </c>
      <c r="F272" s="30">
        <f t="shared" si="43"/>
        <v>0</v>
      </c>
      <c r="G272" s="30">
        <f t="shared" si="43"/>
        <v>0</v>
      </c>
      <c r="H272" s="30">
        <f t="shared" si="43"/>
        <v>0</v>
      </c>
      <c r="I272" s="30">
        <f t="shared" si="43"/>
        <v>0</v>
      </c>
      <c r="J272" s="31">
        <f>SUM(D272:I272)</f>
        <v>6363.7300000000005</v>
      </c>
      <c r="K272" s="8"/>
      <c r="L272" s="8"/>
    </row>
    <row r="273" spans="1:12" ht="15.75" thickTop="1">
      <c r="A273" s="8"/>
      <c r="B273" s="8"/>
      <c r="C273" s="8"/>
      <c r="D273" s="8"/>
      <c r="E273" s="15"/>
      <c r="F273" s="15"/>
      <c r="G273" s="15"/>
      <c r="H273" s="15"/>
      <c r="I273" s="15"/>
      <c r="J273" s="20"/>
      <c r="K273" s="8"/>
      <c r="L273" s="8"/>
    </row>
    <row r="274" spans="1:12">
      <c r="A274" s="8"/>
      <c r="B274" s="8"/>
      <c r="C274" s="8"/>
      <c r="D274" s="8"/>
      <c r="E274" s="15"/>
      <c r="F274" s="15"/>
      <c r="G274" s="15"/>
      <c r="H274" s="15"/>
      <c r="I274" s="15"/>
      <c r="J274" s="20"/>
      <c r="K274" s="8"/>
      <c r="L274" s="8"/>
    </row>
    <row r="275" spans="1:12">
      <c r="A275" s="8">
        <v>66</v>
      </c>
      <c r="B275" s="8" t="s">
        <v>61</v>
      </c>
      <c r="C275" s="8" t="s">
        <v>12</v>
      </c>
      <c r="D275" s="8">
        <v>10034.65</v>
      </c>
      <c r="E275" s="15">
        <v>244.04</v>
      </c>
      <c r="F275" s="15">
        <v>178.52</v>
      </c>
      <c r="G275" s="15">
        <v>187.19</v>
      </c>
      <c r="H275" s="15">
        <v>156</v>
      </c>
      <c r="I275" s="15">
        <v>2.6</v>
      </c>
      <c r="J275" s="20">
        <f>SUM(D275:I275)</f>
        <v>10803.000000000002</v>
      </c>
      <c r="K275" s="8"/>
      <c r="L275" s="8"/>
    </row>
    <row r="276" spans="1:12">
      <c r="A276" s="8"/>
      <c r="B276" s="8"/>
      <c r="C276" s="8" t="s">
        <v>13</v>
      </c>
      <c r="D276" s="26">
        <v>0</v>
      </c>
      <c r="E276" s="15">
        <v>0</v>
      </c>
      <c r="F276" s="15">
        <v>0</v>
      </c>
      <c r="G276" s="15">
        <v>0</v>
      </c>
      <c r="H276" s="15">
        <v>2.37</v>
      </c>
      <c r="I276" s="15">
        <v>0.59</v>
      </c>
      <c r="J276" s="20">
        <f>SUM(D276:I276)</f>
        <v>2.96</v>
      </c>
      <c r="K276" s="8"/>
      <c r="L276" s="8"/>
    </row>
    <row r="277" spans="1:12" ht="15.75" thickBot="1">
      <c r="A277" s="8"/>
      <c r="B277" s="8"/>
      <c r="C277" s="8" t="s">
        <v>73</v>
      </c>
      <c r="D277" s="27">
        <v>677.53</v>
      </c>
      <c r="E277" s="28">
        <v>16.57</v>
      </c>
      <c r="F277" s="27">
        <v>12.29</v>
      </c>
      <c r="G277" s="27">
        <v>12.87</v>
      </c>
      <c r="H277" s="27">
        <v>10.24</v>
      </c>
      <c r="I277" s="27">
        <v>0.18</v>
      </c>
      <c r="J277" s="29">
        <f>SUM(D277:I277)</f>
        <v>729.68</v>
      </c>
      <c r="K277" s="8"/>
      <c r="L277" s="8"/>
    </row>
    <row r="278" spans="1:12">
      <c r="A278" s="8"/>
      <c r="B278" s="8"/>
      <c r="C278" s="8"/>
      <c r="D278" s="8"/>
      <c r="E278" s="15"/>
      <c r="F278" s="8"/>
      <c r="G278" s="8"/>
      <c r="H278" s="8"/>
      <c r="I278" s="8"/>
      <c r="J278" s="20"/>
      <c r="K278" s="8"/>
      <c r="L278" s="8"/>
    </row>
    <row r="279" spans="1:12" ht="15.75" thickBot="1">
      <c r="A279" s="8"/>
      <c r="B279" s="8"/>
      <c r="C279" s="8" t="s">
        <v>10</v>
      </c>
      <c r="D279" s="30">
        <f t="shared" ref="D279:I279" si="44">SUM(D275:D277)</f>
        <v>10712.18</v>
      </c>
      <c r="E279" s="30">
        <f t="shared" si="44"/>
        <v>260.61</v>
      </c>
      <c r="F279" s="30">
        <f t="shared" si="44"/>
        <v>190.81</v>
      </c>
      <c r="G279" s="30">
        <f t="shared" si="44"/>
        <v>200.06</v>
      </c>
      <c r="H279" s="30">
        <f t="shared" si="44"/>
        <v>168.61</v>
      </c>
      <c r="I279" s="30">
        <f t="shared" si="44"/>
        <v>3.37</v>
      </c>
      <c r="J279" s="31">
        <f>SUM(D279:I279)</f>
        <v>11535.640000000001</v>
      </c>
      <c r="K279" s="8"/>
      <c r="L279" s="8"/>
    </row>
    <row r="280" spans="1:12" ht="15.75" thickTop="1">
      <c r="A280" s="8"/>
      <c r="B280" s="8"/>
      <c r="C280" s="8"/>
      <c r="D280" s="8"/>
      <c r="E280" s="15"/>
      <c r="F280" s="15"/>
      <c r="G280" s="15"/>
      <c r="H280" s="15"/>
      <c r="I280" s="15"/>
      <c r="J280" s="20"/>
      <c r="K280" s="8"/>
      <c r="L280" s="8"/>
    </row>
    <row r="281" spans="1:12">
      <c r="A281" s="8"/>
      <c r="B281" s="8"/>
      <c r="C281" s="8"/>
      <c r="D281" s="8"/>
      <c r="E281" s="15"/>
      <c r="F281" s="15"/>
      <c r="G281" s="15"/>
      <c r="H281" s="15"/>
      <c r="I281" s="15"/>
      <c r="J281" s="20"/>
      <c r="K281" s="8"/>
      <c r="L281" s="8"/>
    </row>
    <row r="282" spans="1:12">
      <c r="A282" s="8">
        <v>67</v>
      </c>
      <c r="B282" s="8" t="s">
        <v>62</v>
      </c>
      <c r="C282" s="8" t="s">
        <v>12</v>
      </c>
      <c r="D282" s="8">
        <v>7785.82</v>
      </c>
      <c r="E282" s="15">
        <v>254.11</v>
      </c>
      <c r="F282" s="15">
        <v>143.77000000000001</v>
      </c>
      <c r="G282" s="15">
        <v>124.54</v>
      </c>
      <c r="H282" s="15">
        <v>52.75</v>
      </c>
      <c r="I282" s="15">
        <v>0</v>
      </c>
      <c r="J282" s="20">
        <f>SUM(D282:I282)</f>
        <v>8360.99</v>
      </c>
      <c r="K282" s="8"/>
      <c r="L282" s="8"/>
    </row>
    <row r="283" spans="1:12" ht="15.75" thickBot="1">
      <c r="A283" s="8"/>
      <c r="B283" s="8"/>
      <c r="C283" s="8" t="s">
        <v>13</v>
      </c>
      <c r="D283" s="27">
        <v>281.22000000000003</v>
      </c>
      <c r="E283" s="28">
        <v>9.69</v>
      </c>
      <c r="F283" s="28">
        <v>5.66</v>
      </c>
      <c r="G283" s="28">
        <v>5.43</v>
      </c>
      <c r="H283" s="28">
        <v>1.23</v>
      </c>
      <c r="I283" s="28">
        <v>0</v>
      </c>
      <c r="J283" s="29">
        <f>SUM(D283:I283)</f>
        <v>303.23000000000008</v>
      </c>
      <c r="K283" s="8"/>
      <c r="L283" s="8"/>
    </row>
    <row r="284" spans="1:12">
      <c r="A284" s="8"/>
      <c r="B284" s="8"/>
      <c r="C284" s="8"/>
      <c r="D284" s="8"/>
      <c r="E284" s="15"/>
      <c r="F284" s="15"/>
      <c r="G284" s="15"/>
      <c r="H284" s="15"/>
      <c r="I284" s="15"/>
      <c r="J284" s="20"/>
      <c r="K284" s="8"/>
      <c r="L284" s="8"/>
    </row>
    <row r="285" spans="1:12" ht="15.75" thickBot="1">
      <c r="A285" s="8"/>
      <c r="B285" s="8"/>
      <c r="C285" s="8" t="s">
        <v>10</v>
      </c>
      <c r="D285" s="30">
        <f t="shared" ref="D285:I285" si="45">SUM(D282:D283)</f>
        <v>8067.04</v>
      </c>
      <c r="E285" s="30">
        <f t="shared" si="45"/>
        <v>263.8</v>
      </c>
      <c r="F285" s="30">
        <f t="shared" si="45"/>
        <v>149.43</v>
      </c>
      <c r="G285" s="30">
        <f t="shared" si="45"/>
        <v>129.97</v>
      </c>
      <c r="H285" s="30">
        <f t="shared" si="45"/>
        <v>53.98</v>
      </c>
      <c r="I285" s="30">
        <f t="shared" si="45"/>
        <v>0</v>
      </c>
      <c r="J285" s="31">
        <f>SUM(D285:I285)</f>
        <v>8664.2199999999993</v>
      </c>
      <c r="K285" s="8"/>
      <c r="L285" s="8"/>
    </row>
    <row r="286" spans="1:12" ht="15.75" thickTop="1">
      <c r="A286" s="8"/>
      <c r="B286" s="8"/>
      <c r="C286" s="8"/>
      <c r="D286" s="8"/>
      <c r="E286" s="15"/>
      <c r="F286" s="15"/>
      <c r="G286" s="15"/>
      <c r="H286" s="15"/>
      <c r="I286" s="15"/>
      <c r="J286" s="20"/>
      <c r="K286" s="8"/>
      <c r="L286" s="8"/>
    </row>
    <row r="287" spans="1:12">
      <c r="A287" s="8"/>
      <c r="B287" s="8"/>
      <c r="C287" s="8"/>
      <c r="D287" s="8"/>
      <c r="E287" s="15"/>
      <c r="F287" s="15"/>
      <c r="G287" s="15"/>
      <c r="H287" s="15"/>
      <c r="I287" s="15"/>
      <c r="J287" s="20"/>
      <c r="K287" s="8"/>
      <c r="L287" s="8"/>
    </row>
    <row r="288" spans="1:12">
      <c r="A288" s="8">
        <v>68</v>
      </c>
      <c r="B288" s="8" t="s">
        <v>63</v>
      </c>
      <c r="C288" s="8" t="s">
        <v>12</v>
      </c>
      <c r="D288" s="8">
        <v>7340.38</v>
      </c>
      <c r="E288" s="15">
        <v>241.11</v>
      </c>
      <c r="F288" s="15">
        <v>41.41</v>
      </c>
      <c r="G288" s="15">
        <v>0</v>
      </c>
      <c r="H288" s="15">
        <v>0</v>
      </c>
      <c r="I288" s="15">
        <v>0</v>
      </c>
      <c r="J288" s="20">
        <f>SUM(D288:I288)</f>
        <v>7622.9</v>
      </c>
      <c r="K288" s="8"/>
      <c r="L288" s="8"/>
    </row>
    <row r="289" spans="1:12" ht="15.75" thickBot="1">
      <c r="A289" s="8"/>
      <c r="B289" s="8"/>
      <c r="C289" s="8" t="s">
        <v>13</v>
      </c>
      <c r="D289" s="27"/>
      <c r="E289" s="28"/>
      <c r="F289" s="28"/>
      <c r="G289" s="28"/>
      <c r="H289" s="28"/>
      <c r="I289" s="28"/>
      <c r="J289" s="29"/>
      <c r="K289" s="8"/>
      <c r="L289" s="8"/>
    </row>
    <row r="290" spans="1:12">
      <c r="A290" s="8"/>
      <c r="B290" s="8"/>
      <c r="C290" s="8"/>
      <c r="D290" s="8"/>
      <c r="E290" s="15"/>
      <c r="F290" s="15"/>
      <c r="G290" s="15"/>
      <c r="H290" s="15"/>
      <c r="I290" s="15"/>
      <c r="J290" s="20"/>
      <c r="K290" s="8"/>
      <c r="L290" s="8"/>
    </row>
    <row r="291" spans="1:12" ht="15.75" thickBot="1">
      <c r="A291" s="8"/>
      <c r="B291" s="8"/>
      <c r="C291" s="8" t="s">
        <v>10</v>
      </c>
      <c r="D291" s="30">
        <f t="shared" ref="D291:I291" si="46">SUM(D288:D289)</f>
        <v>7340.38</v>
      </c>
      <c r="E291" s="30">
        <f t="shared" si="46"/>
        <v>241.11</v>
      </c>
      <c r="F291" s="30">
        <f t="shared" si="46"/>
        <v>41.41</v>
      </c>
      <c r="G291" s="30">
        <f t="shared" si="46"/>
        <v>0</v>
      </c>
      <c r="H291" s="30">
        <f t="shared" si="46"/>
        <v>0</v>
      </c>
      <c r="I291" s="30">
        <f t="shared" si="46"/>
        <v>0</v>
      </c>
      <c r="J291" s="31">
        <f>SUM(D291:I291)</f>
        <v>7622.9</v>
      </c>
      <c r="K291" s="8"/>
      <c r="L291" s="8"/>
    </row>
    <row r="292" spans="1:12" ht="15.75" thickTop="1">
      <c r="A292" s="8"/>
      <c r="B292" s="8"/>
      <c r="C292" s="8"/>
      <c r="D292" s="8"/>
      <c r="E292" s="15"/>
      <c r="F292" s="15"/>
      <c r="G292" s="15"/>
      <c r="H292" s="15"/>
      <c r="I292" s="15"/>
      <c r="J292" s="20"/>
      <c r="K292" s="8"/>
      <c r="L292" s="8"/>
    </row>
    <row r="293" spans="1:12">
      <c r="A293" s="8"/>
      <c r="B293" s="8"/>
      <c r="C293" s="8"/>
      <c r="D293" s="8"/>
      <c r="E293" s="15"/>
      <c r="F293" s="15"/>
      <c r="G293" s="15"/>
      <c r="H293" s="15"/>
      <c r="I293" s="15"/>
      <c r="J293" s="20"/>
      <c r="K293" s="8"/>
      <c r="L293" s="8"/>
    </row>
    <row r="294" spans="1:12">
      <c r="A294" s="8">
        <v>69</v>
      </c>
      <c r="B294" s="8" t="s">
        <v>64</v>
      </c>
      <c r="C294" s="8" t="s">
        <v>12</v>
      </c>
      <c r="D294" s="8">
        <v>8287.69</v>
      </c>
      <c r="E294" s="15">
        <v>43.53</v>
      </c>
      <c r="F294" s="15">
        <v>42.28</v>
      </c>
      <c r="G294" s="15">
        <v>14.49</v>
      </c>
      <c r="H294" s="15">
        <v>0</v>
      </c>
      <c r="I294" s="15">
        <v>0</v>
      </c>
      <c r="J294" s="20">
        <f>SUM(D294:I294)</f>
        <v>8387.9900000000016</v>
      </c>
      <c r="K294" s="8"/>
      <c r="L294" s="8"/>
    </row>
    <row r="295" spans="1:12" ht="15.75" thickBot="1">
      <c r="A295" s="8"/>
      <c r="B295" s="8"/>
      <c r="C295" s="8" t="s">
        <v>13</v>
      </c>
      <c r="D295" s="33">
        <v>0</v>
      </c>
      <c r="E295" s="28">
        <v>0</v>
      </c>
      <c r="F295" s="28">
        <v>0</v>
      </c>
      <c r="G295" s="28">
        <v>0</v>
      </c>
      <c r="H295" s="28">
        <v>0</v>
      </c>
      <c r="I295" s="28">
        <v>0</v>
      </c>
      <c r="J295" s="34">
        <v>0</v>
      </c>
      <c r="K295" s="8"/>
      <c r="L295" s="8"/>
    </row>
    <row r="296" spans="1:12">
      <c r="A296" s="8"/>
      <c r="B296" s="8"/>
      <c r="C296" s="8"/>
      <c r="D296" s="8"/>
      <c r="E296" s="15"/>
      <c r="F296" s="15"/>
      <c r="G296" s="15"/>
      <c r="H296" s="15"/>
      <c r="I296" s="15"/>
      <c r="J296" s="20"/>
      <c r="K296" s="8"/>
      <c r="L296" s="8"/>
    </row>
    <row r="297" spans="1:12" ht="15.75" thickBot="1">
      <c r="A297" s="8"/>
      <c r="B297" s="8"/>
      <c r="C297" s="8" t="s">
        <v>10</v>
      </c>
      <c r="D297" s="30">
        <f t="shared" ref="D297:I297" si="47">SUM(D294:D295)</f>
        <v>8287.69</v>
      </c>
      <c r="E297" s="30">
        <f t="shared" si="47"/>
        <v>43.53</v>
      </c>
      <c r="F297" s="30">
        <f t="shared" si="47"/>
        <v>42.28</v>
      </c>
      <c r="G297" s="30">
        <f t="shared" si="47"/>
        <v>14.49</v>
      </c>
      <c r="H297" s="30">
        <f t="shared" si="47"/>
        <v>0</v>
      </c>
      <c r="I297" s="30">
        <f t="shared" si="47"/>
        <v>0</v>
      </c>
      <c r="J297" s="31">
        <f>SUM(D297:I297)</f>
        <v>8387.9900000000016</v>
      </c>
      <c r="K297" s="8"/>
      <c r="L297" s="8"/>
    </row>
    <row r="298" spans="1:12" ht="15.75" thickTop="1">
      <c r="A298" s="8"/>
      <c r="B298" s="8"/>
      <c r="C298" s="8"/>
      <c r="D298" s="8"/>
      <c r="E298" s="15"/>
      <c r="F298" s="15"/>
      <c r="G298" s="15"/>
      <c r="H298" s="15"/>
      <c r="I298" s="15"/>
      <c r="J298" s="20"/>
      <c r="K298" s="8"/>
      <c r="L298" s="8"/>
    </row>
    <row r="299" spans="1:12">
      <c r="A299" s="8"/>
      <c r="B299" s="8"/>
      <c r="C299" s="8"/>
      <c r="D299" s="8"/>
      <c r="E299" s="15"/>
      <c r="F299" s="15"/>
      <c r="G299" s="15"/>
      <c r="H299" s="15"/>
      <c r="I299" s="15"/>
      <c r="J299" s="20"/>
      <c r="K299" s="8"/>
      <c r="L299" s="8"/>
    </row>
    <row r="300" spans="1:12">
      <c r="A300" s="8">
        <v>70</v>
      </c>
      <c r="B300" s="8" t="s">
        <v>65</v>
      </c>
      <c r="C300" s="8" t="s">
        <v>12</v>
      </c>
      <c r="D300" s="8">
        <v>8131.15</v>
      </c>
      <c r="E300" s="15">
        <v>548.65</v>
      </c>
      <c r="F300" s="15">
        <v>212.46</v>
      </c>
      <c r="G300" s="15">
        <v>205.61</v>
      </c>
      <c r="H300" s="15">
        <v>0</v>
      </c>
      <c r="I300" s="15">
        <v>0</v>
      </c>
      <c r="J300" s="20">
        <f>SUM(D300:I300)</f>
        <v>9097.869999999999</v>
      </c>
      <c r="K300" s="8"/>
      <c r="L300" s="8"/>
    </row>
    <row r="301" spans="1:12" ht="15.75" thickBot="1">
      <c r="A301" s="8"/>
      <c r="B301" s="8"/>
      <c r="C301" s="8" t="s">
        <v>78</v>
      </c>
      <c r="D301" s="33">
        <v>0</v>
      </c>
      <c r="E301" s="28">
        <v>0</v>
      </c>
      <c r="F301" s="28">
        <v>0</v>
      </c>
      <c r="G301" s="28">
        <v>6.79</v>
      </c>
      <c r="H301" s="28">
        <v>0</v>
      </c>
      <c r="I301" s="28">
        <v>0</v>
      </c>
      <c r="J301" s="29">
        <f>SUM(D301:I301)</f>
        <v>6.79</v>
      </c>
      <c r="K301" s="8"/>
      <c r="L301" s="8"/>
    </row>
    <row r="302" spans="1:12">
      <c r="A302" s="8"/>
      <c r="B302" s="8"/>
      <c r="C302" s="8"/>
      <c r="D302" s="8"/>
      <c r="E302" s="15"/>
      <c r="F302" s="15"/>
      <c r="G302" s="15"/>
      <c r="H302" s="15"/>
      <c r="I302" s="15"/>
      <c r="J302" s="20"/>
      <c r="K302" s="8"/>
      <c r="L302" s="8"/>
    </row>
    <row r="303" spans="1:12" ht="15.75" thickBot="1">
      <c r="A303" s="8"/>
      <c r="B303" s="8"/>
      <c r="C303" s="8" t="s">
        <v>10</v>
      </c>
      <c r="D303" s="30">
        <f t="shared" ref="D303:I303" si="48">SUM(D300:D302)</f>
        <v>8131.15</v>
      </c>
      <c r="E303" s="30">
        <f t="shared" si="48"/>
        <v>548.65</v>
      </c>
      <c r="F303" s="30">
        <f t="shared" si="48"/>
        <v>212.46</v>
      </c>
      <c r="G303" s="30">
        <f t="shared" si="48"/>
        <v>212.4</v>
      </c>
      <c r="H303" s="30">
        <f t="shared" si="48"/>
        <v>0</v>
      </c>
      <c r="I303" s="30">
        <f t="shared" si="48"/>
        <v>0</v>
      </c>
      <c r="J303" s="31">
        <f>SUM(D303:I303)</f>
        <v>9104.659999999998</v>
      </c>
      <c r="K303" s="8"/>
      <c r="L303" s="8"/>
    </row>
    <row r="304" spans="1:12" ht="15.75" thickTop="1">
      <c r="A304" s="8"/>
      <c r="B304" s="8"/>
      <c r="C304" s="8"/>
      <c r="D304" s="8"/>
      <c r="E304" s="15"/>
      <c r="F304" s="15"/>
      <c r="G304" s="15"/>
      <c r="H304" s="15"/>
      <c r="I304" s="15"/>
      <c r="J304" s="20"/>
      <c r="K304" s="8"/>
      <c r="L304" s="8"/>
    </row>
    <row r="305" spans="1:12">
      <c r="A305" s="8"/>
      <c r="B305" s="8"/>
      <c r="C305" s="8" t="s">
        <v>66</v>
      </c>
      <c r="D305" s="15">
        <f t="shared" ref="D305:I305" si="49">SUM(D9:D303)/2</f>
        <v>523287.64000000013</v>
      </c>
      <c r="E305" s="15">
        <f t="shared" si="49"/>
        <v>17403.189999999999</v>
      </c>
      <c r="F305" s="15">
        <f t="shared" si="49"/>
        <v>7132.5599999999995</v>
      </c>
      <c r="G305" s="15">
        <f t="shared" si="49"/>
        <v>3807.0299999999993</v>
      </c>
      <c r="H305" s="15">
        <f t="shared" si="49"/>
        <v>1466.6799999999998</v>
      </c>
      <c r="I305" s="15">
        <f t="shared" si="49"/>
        <v>95.78</v>
      </c>
      <c r="J305" s="20">
        <f>SUM(D305:H305)</f>
        <v>553097.10000000021</v>
      </c>
      <c r="K305" s="8"/>
      <c r="L305" s="8"/>
    </row>
    <row r="306" spans="1:12">
      <c r="A306" s="8"/>
      <c r="B306" s="8"/>
      <c r="C306" s="8"/>
      <c r="D306" s="8"/>
      <c r="E306" s="15"/>
      <c r="F306" s="8">
        <f>487402.64-F305</f>
        <v>480270.08000000002</v>
      </c>
      <c r="G306" s="8"/>
      <c r="H306" s="8"/>
      <c r="I306" s="8"/>
      <c r="J306" s="20">
        <f>SUM(D306:H306)</f>
        <v>480270.08000000002</v>
      </c>
      <c r="K306" s="8"/>
      <c r="L306" s="8"/>
    </row>
    <row r="307" spans="1:12">
      <c r="A307" s="8"/>
      <c r="B307" s="8"/>
      <c r="C307" s="8"/>
      <c r="D307" s="8"/>
      <c r="E307" s="8"/>
      <c r="F307" s="8"/>
      <c r="G307" s="8"/>
      <c r="H307" s="8"/>
      <c r="I307" s="8"/>
      <c r="J307" s="20"/>
      <c r="K307" s="8"/>
      <c r="L307" s="8"/>
    </row>
  </sheetData>
  <phoneticPr fontId="0" type="noConversion"/>
  <pageMargins left="0.25" right="0.25" top="0.25" bottom="0.25" header="0.5" footer="0.5"/>
  <pageSetup scale="70" fitToHeight="50" orientation="landscape" r:id="rId1"/>
  <headerFooter alignWithMargins="0"/>
  <rowBreaks count="51" manualBreakCount="51">
    <brk id="7" max="65535" man="1"/>
    <brk id="13" max="9" man="1"/>
    <brk id="18" max="65535" man="1"/>
    <brk id="24" max="65535" man="1"/>
    <brk id="30" max="65535" man="1"/>
    <brk id="36" max="65535" man="1"/>
    <brk id="43" max="65535" man="1"/>
    <brk id="49" max="65535" man="1"/>
    <brk id="56" max="65535" man="1"/>
    <brk id="62" max="65535" man="1"/>
    <brk id="68" max="65535" man="1"/>
    <brk id="75" max="65535" man="1"/>
    <brk id="82" max="65535" man="1"/>
    <brk id="89" max="65535" man="1"/>
    <brk id="94" max="65535" man="1"/>
    <brk id="100" max="65535" man="1"/>
    <brk id="105" max="65535" man="1"/>
    <brk id="111" max="65535" man="1"/>
    <brk id="118" max="65535" man="1"/>
    <brk id="123" max="9" man="1"/>
    <brk id="128" max="65535" man="1"/>
    <brk id="134" max="65535" man="1"/>
    <brk id="141" max="65535" man="1"/>
    <brk id="148" max="9" man="1"/>
    <brk id="154" max="9" man="1"/>
    <brk id="158" max="9" man="1"/>
    <brk id="163" max="65535" man="1"/>
    <brk id="168" max="65535" man="1"/>
    <brk id="173" max="65535" man="1"/>
    <brk id="179" max="65535" man="1"/>
    <brk id="186" max="65535" man="1"/>
    <brk id="192" max="65535" man="1"/>
    <brk id="198" max="65535" man="1"/>
    <brk id="203" max="65535" man="1"/>
    <brk id="209" max="65535" man="1"/>
    <brk id="215" max="65535" man="1"/>
    <brk id="221" max="65535" man="1"/>
    <brk id="227" max="65535" man="1"/>
    <brk id="233" max="65535" man="1"/>
    <brk id="238" max="65535" man="1"/>
    <brk id="244" max="65535" man="1"/>
    <brk id="250" max="65535" man="1"/>
    <brk id="256" max="65535" man="1"/>
    <brk id="261" max="65535" man="1"/>
    <brk id="267" max="65535" man="1"/>
    <brk id="274" max="65535" man="1"/>
    <brk id="280" max="65535" man="1"/>
    <brk id="286" max="65535" man="1"/>
    <brk id="291" max="65535" man="1"/>
    <brk id="298" max="65535" man="1"/>
    <brk id="303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A1:L307"/>
  <sheetViews>
    <sheetView showOutlineSymbols="0" defaultGridColor="0" view="pageBreakPreview" topLeftCell="B1" colorId="23" zoomScale="60" zoomScaleNormal="75" workbookViewId="0">
      <selection activeCell="B3" sqref="B3"/>
    </sheetView>
  </sheetViews>
  <sheetFormatPr defaultColWidth="9.6640625" defaultRowHeight="15"/>
  <cols>
    <col min="1" max="1" width="9.6640625" style="10" customWidth="1"/>
    <col min="2" max="2" width="27.44140625" style="10" bestFit="1" customWidth="1"/>
    <col min="3" max="3" width="24.44140625" style="10" bestFit="1" customWidth="1"/>
    <col min="4" max="5" width="12.77734375" style="10" customWidth="1"/>
    <col min="6" max="6" width="12.6640625" style="10" customWidth="1"/>
    <col min="7" max="8" width="11.6640625" style="10" customWidth="1"/>
    <col min="9" max="9" width="9.6640625" style="10" customWidth="1"/>
    <col min="10" max="10" width="14.44140625" style="23" customWidth="1"/>
    <col min="11" max="16384" width="9.6640625" style="10"/>
  </cols>
  <sheetData>
    <row r="1" spans="1:12">
      <c r="A1" s="8"/>
      <c r="B1" s="8"/>
      <c r="C1" s="8"/>
      <c r="D1" s="8"/>
      <c r="E1" s="8"/>
      <c r="F1" s="8"/>
      <c r="G1" s="8"/>
      <c r="H1" s="8"/>
      <c r="I1" s="9"/>
      <c r="J1" s="20"/>
      <c r="K1" s="8"/>
      <c r="L1" s="8"/>
    </row>
    <row r="2" spans="1:12">
      <c r="A2" s="8"/>
      <c r="B2" s="8"/>
      <c r="C2" s="8"/>
      <c r="D2" s="8"/>
      <c r="E2" s="8"/>
      <c r="F2" s="8"/>
      <c r="G2" s="8"/>
      <c r="H2" s="8"/>
      <c r="I2" s="8"/>
      <c r="J2" s="20"/>
      <c r="K2" s="8"/>
      <c r="L2" s="8"/>
    </row>
    <row r="3" spans="1:12">
      <c r="A3" s="8"/>
      <c r="B3" s="8" t="s">
        <v>94</v>
      </c>
      <c r="C3" s="8"/>
      <c r="D3" s="8"/>
      <c r="E3" s="8"/>
      <c r="F3" s="8"/>
      <c r="G3" s="8"/>
      <c r="H3" s="8"/>
      <c r="I3" s="8"/>
      <c r="J3" s="20"/>
      <c r="K3" s="8"/>
      <c r="L3" s="8"/>
    </row>
    <row r="4" spans="1:12" ht="15.75">
      <c r="A4" s="8"/>
      <c r="B4" s="11" t="s">
        <v>1</v>
      </c>
      <c r="C4" s="9"/>
      <c r="D4" s="9"/>
      <c r="E4" s="9"/>
      <c r="F4" s="9"/>
      <c r="G4" s="9"/>
      <c r="H4" s="9"/>
      <c r="I4" s="9"/>
      <c r="J4" s="21"/>
      <c r="K4" s="8"/>
      <c r="L4" s="8"/>
    </row>
    <row r="5" spans="1:12" ht="15.75">
      <c r="A5" s="8"/>
      <c r="B5" s="11" t="s">
        <v>93</v>
      </c>
      <c r="C5" s="9"/>
      <c r="D5" s="9"/>
      <c r="E5" s="9"/>
      <c r="F5" s="9"/>
      <c r="G5" s="9"/>
      <c r="H5" s="9"/>
      <c r="I5" s="9"/>
      <c r="J5" s="21"/>
      <c r="K5" s="8"/>
      <c r="L5" s="8"/>
    </row>
    <row r="6" spans="1:12">
      <c r="A6" s="8"/>
      <c r="B6" s="8"/>
      <c r="C6" s="8"/>
      <c r="D6" s="8"/>
      <c r="E6" s="8"/>
      <c r="F6" s="8"/>
      <c r="G6" s="8"/>
      <c r="H6" s="8"/>
      <c r="I6" s="8"/>
      <c r="J6" s="20"/>
      <c r="K6" s="8"/>
      <c r="L6" s="8"/>
    </row>
    <row r="7" spans="1:12">
      <c r="A7" s="8"/>
      <c r="B7" s="12" t="s">
        <v>3</v>
      </c>
      <c r="C7" s="12" t="s">
        <v>4</v>
      </c>
      <c r="D7" s="14">
        <v>2001</v>
      </c>
      <c r="E7" s="14">
        <v>2000</v>
      </c>
      <c r="F7" s="13">
        <v>1999</v>
      </c>
      <c r="G7" s="13">
        <v>1998</v>
      </c>
      <c r="H7" s="13">
        <v>1997</v>
      </c>
      <c r="I7" s="14">
        <v>1996</v>
      </c>
      <c r="J7" s="22" t="s">
        <v>10</v>
      </c>
      <c r="K7" s="8"/>
      <c r="L7" s="8"/>
    </row>
    <row r="8" spans="1:12">
      <c r="A8" s="8"/>
      <c r="B8" s="8"/>
      <c r="C8" s="8"/>
      <c r="D8" s="8"/>
      <c r="E8" s="8"/>
      <c r="F8" s="8"/>
      <c r="G8" s="8"/>
      <c r="H8" s="8"/>
      <c r="I8" s="8"/>
      <c r="J8" s="20"/>
      <c r="K8" s="8"/>
      <c r="L8" s="8"/>
    </row>
    <row r="9" spans="1:12">
      <c r="A9" s="8">
        <v>21</v>
      </c>
      <c r="B9" s="8" t="s">
        <v>11</v>
      </c>
      <c r="C9" s="8" t="s">
        <v>12</v>
      </c>
      <c r="D9" s="8">
        <v>7746.35</v>
      </c>
      <c r="E9" s="8">
        <v>105.28</v>
      </c>
      <c r="F9" s="15">
        <v>63.94</v>
      </c>
      <c r="G9" s="15">
        <v>62.26</v>
      </c>
      <c r="H9" s="15">
        <v>0</v>
      </c>
      <c r="I9" s="15">
        <v>0</v>
      </c>
      <c r="J9" s="20">
        <f>SUM(D9:I9)</f>
        <v>7977.83</v>
      </c>
      <c r="K9" s="8"/>
      <c r="L9" s="8"/>
    </row>
    <row r="10" spans="1:12" ht="15.75" thickBot="1">
      <c r="A10" s="8"/>
      <c r="B10" s="8"/>
      <c r="C10" s="8" t="s">
        <v>13</v>
      </c>
      <c r="D10" s="27">
        <v>235.22</v>
      </c>
      <c r="E10" s="27">
        <v>3.39</v>
      </c>
      <c r="F10" s="28">
        <v>2.09</v>
      </c>
      <c r="G10" s="28">
        <v>2.14</v>
      </c>
      <c r="H10" s="28">
        <v>0</v>
      </c>
      <c r="I10" s="28">
        <v>0</v>
      </c>
      <c r="J10" s="29">
        <f>SUM(D10:I10)</f>
        <v>242.83999999999997</v>
      </c>
      <c r="K10" s="8"/>
      <c r="L10" s="8"/>
    </row>
    <row r="11" spans="1:12">
      <c r="A11" s="8"/>
      <c r="B11" s="8"/>
      <c r="C11" s="8"/>
      <c r="D11" s="8"/>
      <c r="E11" s="8"/>
      <c r="F11" s="15"/>
      <c r="G11" s="15"/>
      <c r="H11" s="15"/>
      <c r="I11" s="15"/>
      <c r="J11" s="20"/>
      <c r="K11" s="8"/>
      <c r="L11" s="8"/>
    </row>
    <row r="12" spans="1:12" ht="15.75" thickBot="1">
      <c r="A12" s="8"/>
      <c r="B12" s="8"/>
      <c r="C12" s="8" t="s">
        <v>10</v>
      </c>
      <c r="D12" s="30">
        <f t="shared" ref="D12:I12" si="0">SUM(D9:D10)</f>
        <v>7981.5700000000006</v>
      </c>
      <c r="E12" s="30">
        <f t="shared" si="0"/>
        <v>108.67</v>
      </c>
      <c r="F12" s="30">
        <f t="shared" si="0"/>
        <v>66.03</v>
      </c>
      <c r="G12" s="30">
        <f t="shared" si="0"/>
        <v>64.399999999999991</v>
      </c>
      <c r="H12" s="30">
        <f t="shared" si="0"/>
        <v>0</v>
      </c>
      <c r="I12" s="30">
        <f t="shared" si="0"/>
        <v>0</v>
      </c>
      <c r="J12" s="31">
        <f>SUM(D12:I12)</f>
        <v>8220.67</v>
      </c>
      <c r="K12" s="8"/>
      <c r="L12" s="8"/>
    </row>
    <row r="13" spans="1:12" ht="15.75" thickTop="1">
      <c r="A13" s="8"/>
      <c r="B13" s="8"/>
      <c r="C13" s="8"/>
      <c r="D13" s="8"/>
      <c r="E13" s="8"/>
      <c r="F13" s="15"/>
      <c r="G13" s="8"/>
      <c r="H13" s="8"/>
      <c r="I13" s="8"/>
      <c r="J13" s="20"/>
      <c r="K13" s="8"/>
      <c r="L13" s="8"/>
    </row>
    <row r="14" spans="1:12">
      <c r="A14" s="8">
        <v>22</v>
      </c>
      <c r="B14" s="8" t="s">
        <v>15</v>
      </c>
      <c r="C14" s="8" t="s">
        <v>12</v>
      </c>
      <c r="D14" s="8">
        <v>9568.1</v>
      </c>
      <c r="E14" s="8">
        <v>122.07</v>
      </c>
      <c r="F14" s="15">
        <v>18.82</v>
      </c>
      <c r="G14" s="15">
        <v>18.63</v>
      </c>
      <c r="H14" s="15">
        <v>6.63</v>
      </c>
      <c r="I14" s="15">
        <v>0</v>
      </c>
      <c r="J14" s="20">
        <f>SUM(D14:I14)</f>
        <v>9734.2499999999982</v>
      </c>
      <c r="K14" s="8"/>
      <c r="L14" s="8"/>
    </row>
    <row r="15" spans="1:12" ht="15.75" thickBot="1">
      <c r="A15" s="8"/>
      <c r="B15" s="8"/>
      <c r="C15" s="8" t="s">
        <v>13</v>
      </c>
      <c r="D15" s="27">
        <v>628.71</v>
      </c>
      <c r="E15" s="27">
        <v>7.79</v>
      </c>
      <c r="F15" s="28">
        <v>1.54</v>
      </c>
      <c r="G15" s="28">
        <v>1.45</v>
      </c>
      <c r="H15" s="28">
        <v>0.51</v>
      </c>
      <c r="I15" s="28">
        <v>0</v>
      </c>
      <c r="J15" s="29">
        <f>SUM(D15:I15)</f>
        <v>640</v>
      </c>
      <c r="K15" s="8"/>
      <c r="L15" s="8"/>
    </row>
    <row r="16" spans="1:12">
      <c r="A16" s="8"/>
      <c r="B16" s="8"/>
      <c r="C16" s="8"/>
      <c r="D16" s="8"/>
      <c r="E16" s="8"/>
      <c r="F16" s="15"/>
      <c r="G16" s="15"/>
      <c r="H16" s="15"/>
      <c r="I16" s="15"/>
      <c r="J16" s="20"/>
      <c r="K16" s="8"/>
      <c r="L16" s="8"/>
    </row>
    <row r="17" spans="1:12" ht="15.75" thickBot="1">
      <c r="A17" s="8"/>
      <c r="B17" s="8"/>
      <c r="C17" s="8" t="s">
        <v>10</v>
      </c>
      <c r="D17" s="30">
        <f t="shared" ref="D17:I17" si="1">SUM(D14:D15)</f>
        <v>10196.810000000001</v>
      </c>
      <c r="E17" s="30">
        <f t="shared" si="1"/>
        <v>129.85999999999999</v>
      </c>
      <c r="F17" s="30">
        <f t="shared" si="1"/>
        <v>20.36</v>
      </c>
      <c r="G17" s="30">
        <f t="shared" si="1"/>
        <v>20.079999999999998</v>
      </c>
      <c r="H17" s="30">
        <f t="shared" si="1"/>
        <v>7.14</v>
      </c>
      <c r="I17" s="30">
        <f t="shared" si="1"/>
        <v>0</v>
      </c>
      <c r="J17" s="31">
        <f>SUM(D17:I17)</f>
        <v>10374.250000000002</v>
      </c>
      <c r="K17" s="8"/>
      <c r="L17" s="8"/>
    </row>
    <row r="18" spans="1:12" ht="15.75" thickTop="1">
      <c r="A18" s="8"/>
      <c r="B18" s="8"/>
      <c r="C18" s="8"/>
      <c r="D18" s="8"/>
      <c r="E18" s="8"/>
      <c r="F18" s="15"/>
      <c r="G18" s="15"/>
      <c r="H18" s="15"/>
      <c r="I18" s="15"/>
      <c r="J18" s="20"/>
      <c r="K18" s="8"/>
      <c r="L18" s="8"/>
    </row>
    <row r="19" spans="1:12">
      <c r="A19" s="8">
        <v>23</v>
      </c>
      <c r="B19" s="8" t="s">
        <v>16</v>
      </c>
      <c r="C19" s="8" t="s">
        <v>12</v>
      </c>
      <c r="D19" s="8">
        <v>5677.29</v>
      </c>
      <c r="E19" s="8">
        <v>694.91</v>
      </c>
      <c r="F19" s="15">
        <v>571.29999999999995</v>
      </c>
      <c r="G19" s="15">
        <v>0</v>
      </c>
      <c r="H19" s="15">
        <v>0</v>
      </c>
      <c r="I19" s="15">
        <v>0</v>
      </c>
      <c r="J19" s="20">
        <f>SUM(D19:I19)</f>
        <v>6943.5</v>
      </c>
      <c r="K19" s="8"/>
      <c r="L19" s="8"/>
    </row>
    <row r="20" spans="1:12" ht="15.75" thickBot="1">
      <c r="A20" s="8"/>
      <c r="B20" s="8"/>
      <c r="C20" s="8" t="s">
        <v>13</v>
      </c>
      <c r="D20" s="33">
        <v>0</v>
      </c>
      <c r="E20" s="33">
        <v>0</v>
      </c>
      <c r="F20" s="28">
        <v>0</v>
      </c>
      <c r="G20" s="28">
        <v>0</v>
      </c>
      <c r="H20" s="28">
        <v>0</v>
      </c>
      <c r="I20" s="28">
        <v>0</v>
      </c>
      <c r="J20" s="29">
        <f>SUM(D20:I20)</f>
        <v>0</v>
      </c>
      <c r="K20" s="8"/>
      <c r="L20" s="8"/>
    </row>
    <row r="21" spans="1:12">
      <c r="A21" s="8"/>
      <c r="B21" s="8"/>
      <c r="C21" s="8"/>
      <c r="D21" s="8"/>
      <c r="E21" s="8"/>
      <c r="F21" s="15"/>
      <c r="G21" s="15"/>
      <c r="H21" s="15"/>
      <c r="I21" s="15"/>
      <c r="J21" s="20"/>
      <c r="K21" s="8"/>
      <c r="L21" s="8"/>
    </row>
    <row r="22" spans="1:12" ht="15.75" thickBot="1">
      <c r="A22" s="8"/>
      <c r="B22" s="8"/>
      <c r="C22" s="8" t="s">
        <v>10</v>
      </c>
      <c r="D22" s="30">
        <f t="shared" ref="D22:I22" si="2">SUM(D19:D20)</f>
        <v>5677.29</v>
      </c>
      <c r="E22" s="30">
        <f t="shared" si="2"/>
        <v>694.91</v>
      </c>
      <c r="F22" s="30">
        <f t="shared" si="2"/>
        <v>571.29999999999995</v>
      </c>
      <c r="G22" s="30">
        <f t="shared" si="2"/>
        <v>0</v>
      </c>
      <c r="H22" s="30">
        <f t="shared" si="2"/>
        <v>0</v>
      </c>
      <c r="I22" s="30">
        <f t="shared" si="2"/>
        <v>0</v>
      </c>
      <c r="J22" s="31">
        <f>SUM(D22:I22)</f>
        <v>6943.5</v>
      </c>
      <c r="K22" s="8"/>
      <c r="L22" s="8"/>
    </row>
    <row r="23" spans="1:12" ht="15.75" thickTop="1">
      <c r="A23" s="8"/>
      <c r="B23" s="8"/>
      <c r="C23" s="8"/>
      <c r="D23" s="8"/>
      <c r="E23" s="8"/>
      <c r="F23" s="15"/>
      <c r="G23" s="15"/>
      <c r="H23" s="15"/>
      <c r="I23" s="15"/>
      <c r="J23" s="20"/>
      <c r="K23" s="8"/>
      <c r="L23" s="8"/>
    </row>
    <row r="24" spans="1:12">
      <c r="A24" s="8"/>
      <c r="B24" s="8"/>
      <c r="C24" s="8"/>
      <c r="D24" s="8"/>
      <c r="E24" s="8"/>
      <c r="F24" s="15"/>
      <c r="G24" s="8"/>
      <c r="H24" s="8"/>
      <c r="I24" s="8"/>
      <c r="J24" s="20"/>
      <c r="K24" s="8"/>
      <c r="L24" s="8"/>
    </row>
    <row r="25" spans="1:12">
      <c r="A25" s="8"/>
      <c r="B25" s="8"/>
      <c r="C25" s="8"/>
      <c r="D25" s="8"/>
      <c r="E25" s="8"/>
      <c r="F25" s="15"/>
      <c r="G25" s="15"/>
      <c r="H25" s="15"/>
      <c r="I25" s="15"/>
      <c r="J25" s="20"/>
      <c r="K25" s="8"/>
      <c r="L25" s="8"/>
    </row>
    <row r="26" spans="1:12" ht="15.75" thickBot="1">
      <c r="A26" s="8">
        <v>24</v>
      </c>
      <c r="B26" s="8" t="s">
        <v>17</v>
      </c>
      <c r="C26" s="8" t="s">
        <v>12</v>
      </c>
      <c r="D26" s="27">
        <v>4568.21</v>
      </c>
      <c r="E26" s="27">
        <v>0</v>
      </c>
      <c r="F26" s="28">
        <v>0</v>
      </c>
      <c r="G26" s="28">
        <v>0</v>
      </c>
      <c r="H26" s="28">
        <v>0</v>
      </c>
      <c r="I26" s="28">
        <v>0</v>
      </c>
      <c r="J26" s="29">
        <f>SUM(D26:I26)</f>
        <v>4568.21</v>
      </c>
      <c r="K26" s="8"/>
      <c r="L26" s="8"/>
    </row>
    <row r="27" spans="1:12">
      <c r="A27" s="8"/>
      <c r="B27" s="8"/>
      <c r="C27" s="8"/>
      <c r="D27" s="8"/>
      <c r="E27" s="8"/>
      <c r="F27" s="24"/>
      <c r="G27" s="24"/>
      <c r="H27" s="24"/>
      <c r="I27" s="24"/>
      <c r="J27" s="25"/>
      <c r="K27" s="8"/>
      <c r="L27" s="8"/>
    </row>
    <row r="28" spans="1:12" ht="15.75" thickBot="1">
      <c r="A28" s="8"/>
      <c r="B28" s="8"/>
      <c r="C28" s="8" t="s">
        <v>10</v>
      </c>
      <c r="D28" s="30">
        <f t="shared" ref="D28:I28" si="3">SUM(D26:D27)</f>
        <v>4568.21</v>
      </c>
      <c r="E28" s="30">
        <f t="shared" si="3"/>
        <v>0</v>
      </c>
      <c r="F28" s="30">
        <f t="shared" si="3"/>
        <v>0</v>
      </c>
      <c r="G28" s="30">
        <f t="shared" si="3"/>
        <v>0</v>
      </c>
      <c r="H28" s="30">
        <f t="shared" si="3"/>
        <v>0</v>
      </c>
      <c r="I28" s="30">
        <f t="shared" si="3"/>
        <v>0</v>
      </c>
      <c r="J28" s="31">
        <f>SUM(D28:I28)</f>
        <v>4568.21</v>
      </c>
      <c r="K28" s="8"/>
      <c r="L28" s="8"/>
    </row>
    <row r="29" spans="1:12" ht="15.75" thickTop="1">
      <c r="A29" s="8"/>
      <c r="B29" s="8"/>
      <c r="C29" s="8"/>
      <c r="D29" s="8"/>
      <c r="E29" s="8"/>
      <c r="F29" s="15"/>
      <c r="G29" s="15"/>
      <c r="H29" s="15"/>
      <c r="I29" s="15"/>
      <c r="J29" s="20"/>
      <c r="K29" s="8"/>
      <c r="L29" s="8"/>
    </row>
    <row r="30" spans="1:12">
      <c r="A30" s="8"/>
      <c r="B30" s="8"/>
      <c r="C30" s="8"/>
      <c r="D30" s="8"/>
      <c r="E30" s="8"/>
      <c r="F30" s="15"/>
      <c r="G30" s="8"/>
      <c r="H30" s="8"/>
      <c r="I30" s="8"/>
      <c r="J30" s="20"/>
      <c r="K30" s="8"/>
      <c r="L30" s="8"/>
    </row>
    <row r="31" spans="1:12">
      <c r="A31" s="8"/>
      <c r="B31" s="8"/>
      <c r="C31" s="8"/>
      <c r="D31" s="8"/>
      <c r="E31" s="8"/>
      <c r="F31" s="15"/>
      <c r="G31" s="15"/>
      <c r="H31" s="15"/>
      <c r="I31" s="15"/>
      <c r="J31" s="20"/>
      <c r="K31" s="8"/>
      <c r="L31" s="8"/>
    </row>
    <row r="32" spans="1:12" ht="15.75" thickBot="1">
      <c r="A32" s="8">
        <v>25</v>
      </c>
      <c r="B32" s="8" t="s">
        <v>18</v>
      </c>
      <c r="C32" s="8" t="s">
        <v>12</v>
      </c>
      <c r="D32" s="27">
        <v>22388.66</v>
      </c>
      <c r="E32" s="27">
        <v>587.46</v>
      </c>
      <c r="F32" s="28">
        <v>1111.44</v>
      </c>
      <c r="G32" s="28">
        <v>548.01</v>
      </c>
      <c r="H32" s="28">
        <v>0</v>
      </c>
      <c r="I32" s="28">
        <v>0</v>
      </c>
      <c r="J32" s="29">
        <f>SUM(D32:I32)</f>
        <v>24635.569999999996</v>
      </c>
      <c r="K32" s="8"/>
      <c r="L32" s="8"/>
    </row>
    <row r="33" spans="1:12">
      <c r="A33" s="8"/>
      <c r="B33" s="8"/>
      <c r="C33" s="8"/>
      <c r="D33" s="8"/>
      <c r="E33" s="8"/>
      <c r="F33" s="24"/>
      <c r="G33" s="24"/>
      <c r="H33" s="24"/>
      <c r="I33" s="24"/>
      <c r="J33" s="25"/>
      <c r="K33" s="8"/>
      <c r="L33" s="8"/>
    </row>
    <row r="34" spans="1:12" ht="15.75" thickBot="1">
      <c r="A34" s="8"/>
      <c r="B34" s="8"/>
      <c r="C34" s="8" t="s">
        <v>10</v>
      </c>
      <c r="D34" s="30">
        <f t="shared" ref="D34:I34" si="4">SUM(D32:D33)</f>
        <v>22388.66</v>
      </c>
      <c r="E34" s="30">
        <f t="shared" si="4"/>
        <v>587.46</v>
      </c>
      <c r="F34" s="30">
        <f t="shared" si="4"/>
        <v>1111.44</v>
      </c>
      <c r="G34" s="30">
        <f t="shared" si="4"/>
        <v>548.01</v>
      </c>
      <c r="H34" s="30">
        <f t="shared" si="4"/>
        <v>0</v>
      </c>
      <c r="I34" s="30">
        <f t="shared" si="4"/>
        <v>0</v>
      </c>
      <c r="J34" s="31">
        <f>SUM(D34:I34)</f>
        <v>24635.569999999996</v>
      </c>
      <c r="K34" s="8"/>
      <c r="L34" s="8"/>
    </row>
    <row r="35" spans="1:12" ht="15.75" thickTop="1">
      <c r="A35" s="8"/>
      <c r="B35" s="8"/>
      <c r="C35" s="8"/>
      <c r="D35" s="8"/>
      <c r="E35" s="8"/>
      <c r="F35" s="15"/>
      <c r="G35" s="8"/>
      <c r="H35" s="8"/>
      <c r="I35" s="8"/>
      <c r="J35" s="20"/>
      <c r="K35" s="8"/>
      <c r="L35" s="8"/>
    </row>
    <row r="36" spans="1:12">
      <c r="A36" s="8"/>
      <c r="B36" s="8"/>
      <c r="C36" s="8"/>
      <c r="D36" s="8"/>
      <c r="E36" s="8"/>
      <c r="F36" s="15"/>
      <c r="G36" s="15"/>
      <c r="H36" s="15"/>
      <c r="I36" s="15"/>
      <c r="J36" s="20"/>
      <c r="K36" s="8"/>
      <c r="L36" s="8"/>
    </row>
    <row r="37" spans="1:12">
      <c r="A37" s="8"/>
      <c r="B37" s="8"/>
      <c r="C37" s="8"/>
      <c r="D37" s="8"/>
      <c r="E37" s="8"/>
      <c r="F37" s="15"/>
      <c r="G37" s="15"/>
      <c r="H37" s="15"/>
      <c r="I37" s="15"/>
      <c r="J37" s="20"/>
      <c r="K37" s="8"/>
      <c r="L37" s="8"/>
    </row>
    <row r="38" spans="1:12">
      <c r="A38" s="8">
        <v>26</v>
      </c>
      <c r="B38" s="8" t="s">
        <v>19</v>
      </c>
      <c r="C38" s="8" t="s">
        <v>12</v>
      </c>
      <c r="D38" s="8">
        <v>5225.83</v>
      </c>
      <c r="E38" s="8">
        <v>123.82</v>
      </c>
      <c r="F38" s="15">
        <v>90.32</v>
      </c>
      <c r="G38" s="15">
        <v>0</v>
      </c>
      <c r="H38" s="15">
        <v>0</v>
      </c>
      <c r="I38" s="15">
        <v>0</v>
      </c>
      <c r="J38" s="20">
        <f>SUM(D38:I38)</f>
        <v>5439.9699999999993</v>
      </c>
      <c r="K38" s="8"/>
      <c r="L38" s="8"/>
    </row>
    <row r="39" spans="1:12" ht="15.75" thickBot="1">
      <c r="A39" s="8"/>
      <c r="B39" s="8"/>
      <c r="C39" s="8" t="s">
        <v>13</v>
      </c>
      <c r="D39" s="27">
        <v>122.41</v>
      </c>
      <c r="E39" s="27">
        <v>3.18</v>
      </c>
      <c r="F39" s="28">
        <v>2.23</v>
      </c>
      <c r="G39" s="28">
        <v>0</v>
      </c>
      <c r="H39" s="28">
        <v>0</v>
      </c>
      <c r="I39" s="28">
        <v>0</v>
      </c>
      <c r="J39" s="29">
        <f>SUM(D39:I39)</f>
        <v>127.82000000000001</v>
      </c>
      <c r="K39" s="8"/>
      <c r="L39" s="8"/>
    </row>
    <row r="40" spans="1:12">
      <c r="A40" s="8"/>
      <c r="B40" s="8"/>
      <c r="C40" s="8"/>
      <c r="D40" s="8"/>
      <c r="E40" s="8"/>
      <c r="F40" s="15"/>
      <c r="G40" s="15"/>
      <c r="H40" s="15"/>
      <c r="I40" s="15"/>
      <c r="J40" s="20"/>
      <c r="K40" s="8"/>
      <c r="L40" s="8"/>
    </row>
    <row r="41" spans="1:12" ht="15.75" thickBot="1">
      <c r="A41" s="8"/>
      <c r="B41" s="8"/>
      <c r="C41" s="8" t="s">
        <v>10</v>
      </c>
      <c r="D41" s="30">
        <f t="shared" ref="D41:I41" si="5">SUM(D38:D39)</f>
        <v>5348.24</v>
      </c>
      <c r="E41" s="30">
        <f t="shared" si="5"/>
        <v>127</v>
      </c>
      <c r="F41" s="30">
        <f t="shared" si="5"/>
        <v>92.55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1">
        <f>SUM(D41:I41)</f>
        <v>5567.79</v>
      </c>
      <c r="K41" s="8"/>
      <c r="L41" s="8"/>
    </row>
    <row r="42" spans="1:12" ht="15.75" thickTop="1">
      <c r="A42" s="8"/>
      <c r="B42" s="8"/>
      <c r="C42" s="8"/>
      <c r="D42" s="8"/>
      <c r="E42" s="8"/>
      <c r="F42" s="15"/>
      <c r="G42" s="15"/>
      <c r="H42" s="15"/>
      <c r="I42" s="15"/>
      <c r="J42" s="20"/>
      <c r="K42" s="8"/>
      <c r="L42" s="8"/>
    </row>
    <row r="43" spans="1:12">
      <c r="A43" s="8"/>
      <c r="B43" s="8"/>
      <c r="C43" s="8"/>
      <c r="D43" s="8"/>
      <c r="E43" s="8"/>
      <c r="F43" s="15"/>
      <c r="G43" s="15"/>
      <c r="H43" s="15"/>
      <c r="I43" s="15"/>
      <c r="J43" s="20"/>
      <c r="K43" s="8"/>
      <c r="L43" s="8"/>
    </row>
    <row r="44" spans="1:12" ht="15.75" thickBot="1">
      <c r="A44" s="8">
        <v>27</v>
      </c>
      <c r="B44" s="8" t="s">
        <v>20</v>
      </c>
      <c r="C44" s="8" t="s">
        <v>12</v>
      </c>
      <c r="D44" s="27">
        <v>7009.53</v>
      </c>
      <c r="E44" s="27">
        <v>88.03</v>
      </c>
      <c r="F44" s="28">
        <v>0</v>
      </c>
      <c r="G44" s="28">
        <v>0</v>
      </c>
      <c r="H44" s="28">
        <v>0</v>
      </c>
      <c r="I44" s="28">
        <v>0</v>
      </c>
      <c r="J44" s="29">
        <f>SUM(D44:I44)</f>
        <v>7097.5599999999995</v>
      </c>
      <c r="K44" s="8"/>
      <c r="L44" s="8"/>
    </row>
    <row r="45" spans="1:12">
      <c r="A45" s="8"/>
      <c r="B45" s="8"/>
      <c r="C45" s="8"/>
      <c r="D45" s="8"/>
      <c r="E45" s="8"/>
      <c r="F45" s="24"/>
      <c r="G45" s="24"/>
      <c r="H45" s="24"/>
      <c r="I45" s="24"/>
      <c r="J45" s="25"/>
      <c r="K45" s="8"/>
      <c r="L45" s="8"/>
    </row>
    <row r="46" spans="1:12" ht="15.75" thickBot="1">
      <c r="A46" s="8"/>
      <c r="B46" s="8"/>
      <c r="C46" s="8" t="s">
        <v>10</v>
      </c>
      <c r="D46" s="30">
        <f t="shared" ref="D46:I46" si="6">SUM(D44:D45)</f>
        <v>7009.53</v>
      </c>
      <c r="E46" s="30">
        <f t="shared" si="6"/>
        <v>88.03</v>
      </c>
      <c r="F46" s="30">
        <f t="shared" si="6"/>
        <v>0</v>
      </c>
      <c r="G46" s="30">
        <f t="shared" si="6"/>
        <v>0</v>
      </c>
      <c r="H46" s="30">
        <f t="shared" si="6"/>
        <v>0</v>
      </c>
      <c r="I46" s="30">
        <f t="shared" si="6"/>
        <v>0</v>
      </c>
      <c r="J46" s="31">
        <f>SUM(D46:I46)</f>
        <v>7097.5599999999995</v>
      </c>
      <c r="K46" s="8"/>
      <c r="L46" s="8"/>
    </row>
    <row r="47" spans="1:12" ht="15.75" thickTop="1">
      <c r="A47" s="8"/>
      <c r="B47" s="8"/>
      <c r="C47" s="8"/>
      <c r="D47" s="8"/>
      <c r="E47" s="8"/>
      <c r="F47" s="15"/>
      <c r="G47" s="8"/>
      <c r="H47" s="8"/>
      <c r="I47" s="8"/>
      <c r="J47" s="20"/>
      <c r="K47" s="8"/>
      <c r="L47" s="8"/>
    </row>
    <row r="48" spans="1:12">
      <c r="A48" s="8"/>
      <c r="B48" s="8"/>
      <c r="C48" s="8"/>
      <c r="D48" s="8"/>
      <c r="E48" s="8"/>
      <c r="F48" s="15"/>
      <c r="G48" s="8"/>
      <c r="H48" s="8"/>
      <c r="I48" s="8"/>
      <c r="J48" s="20"/>
      <c r="K48" s="8"/>
      <c r="L48" s="8"/>
    </row>
    <row r="49" spans="1:12">
      <c r="A49" s="8"/>
      <c r="B49" s="8"/>
      <c r="C49" s="8"/>
      <c r="D49" s="8"/>
      <c r="E49" s="8"/>
      <c r="F49" s="15"/>
      <c r="G49" s="15"/>
      <c r="H49" s="15"/>
      <c r="I49" s="15"/>
      <c r="J49" s="20"/>
      <c r="K49" s="8"/>
      <c r="L49" s="8"/>
    </row>
    <row r="50" spans="1:12">
      <c r="A50" s="8"/>
      <c r="B50" s="8"/>
      <c r="C50" s="8"/>
      <c r="D50" s="8"/>
      <c r="E50" s="8"/>
      <c r="F50" s="15"/>
      <c r="G50" s="15"/>
      <c r="H50" s="15"/>
      <c r="I50" s="15"/>
      <c r="J50" s="20"/>
      <c r="K50" s="8"/>
      <c r="L50" s="8"/>
    </row>
    <row r="51" spans="1:12">
      <c r="A51" s="8">
        <v>28</v>
      </c>
      <c r="B51" s="8" t="s">
        <v>21</v>
      </c>
      <c r="C51" s="8" t="s">
        <v>12</v>
      </c>
      <c r="D51" s="8">
        <v>5150.05</v>
      </c>
      <c r="E51" s="8">
        <v>49.63</v>
      </c>
      <c r="F51" s="15">
        <v>0</v>
      </c>
      <c r="G51" s="15">
        <v>0</v>
      </c>
      <c r="H51" s="15">
        <v>0</v>
      </c>
      <c r="I51" s="15">
        <v>0</v>
      </c>
      <c r="J51" s="20">
        <f>SUM(D51:I51)</f>
        <v>5199.68</v>
      </c>
      <c r="K51" s="8"/>
      <c r="L51" s="8"/>
    </row>
    <row r="52" spans="1:12" ht="15.75" thickBot="1">
      <c r="A52" s="8"/>
      <c r="B52" s="8"/>
      <c r="C52" s="8" t="s">
        <v>13</v>
      </c>
      <c r="D52" s="27">
        <v>175.02</v>
      </c>
      <c r="E52" s="27">
        <v>1.35</v>
      </c>
      <c r="F52" s="28">
        <v>0</v>
      </c>
      <c r="G52" s="28">
        <v>0</v>
      </c>
      <c r="H52" s="28">
        <v>0</v>
      </c>
      <c r="I52" s="28">
        <v>0</v>
      </c>
      <c r="J52" s="29">
        <f>SUM(D52:I52)</f>
        <v>176.37</v>
      </c>
      <c r="K52" s="8"/>
      <c r="L52" s="8"/>
    </row>
    <row r="53" spans="1:12">
      <c r="A53" s="8"/>
      <c r="B53" s="8"/>
      <c r="C53" s="8"/>
      <c r="D53" s="8"/>
      <c r="E53" s="8"/>
      <c r="F53" s="15"/>
      <c r="G53" s="15"/>
      <c r="H53" s="15"/>
      <c r="I53" s="15"/>
      <c r="J53" s="20"/>
      <c r="K53" s="8"/>
      <c r="L53" s="8"/>
    </row>
    <row r="54" spans="1:12" ht="15.75" thickBot="1">
      <c r="A54" s="8"/>
      <c r="B54" s="8"/>
      <c r="C54" s="8" t="s">
        <v>10</v>
      </c>
      <c r="D54" s="30">
        <f t="shared" ref="D54:I54" si="7">SUM(D51:D52)</f>
        <v>5325.0700000000006</v>
      </c>
      <c r="E54" s="30">
        <f t="shared" si="7"/>
        <v>50.980000000000004</v>
      </c>
      <c r="F54" s="30">
        <f t="shared" si="7"/>
        <v>0</v>
      </c>
      <c r="G54" s="30">
        <f t="shared" si="7"/>
        <v>0</v>
      </c>
      <c r="H54" s="30">
        <f t="shared" si="7"/>
        <v>0</v>
      </c>
      <c r="I54" s="30">
        <f t="shared" si="7"/>
        <v>0</v>
      </c>
      <c r="J54" s="31">
        <f>SUM(D54:I54)</f>
        <v>5376.05</v>
      </c>
      <c r="K54" s="8"/>
      <c r="L54" s="8"/>
    </row>
    <row r="55" spans="1:12" ht="15.75" thickTop="1">
      <c r="A55" s="8"/>
      <c r="B55" s="8"/>
      <c r="C55" s="8"/>
      <c r="D55" s="8"/>
      <c r="E55" s="8"/>
      <c r="F55" s="15"/>
      <c r="G55" s="15"/>
      <c r="H55" s="15"/>
      <c r="I55" s="15"/>
      <c r="J55" s="20"/>
      <c r="K55" s="8"/>
      <c r="L55" s="8"/>
    </row>
    <row r="56" spans="1:12">
      <c r="A56" s="8"/>
      <c r="B56" s="8"/>
      <c r="C56" s="8"/>
      <c r="D56" s="8"/>
      <c r="E56" s="8"/>
      <c r="F56" s="15"/>
      <c r="G56" s="15"/>
      <c r="H56" s="15"/>
      <c r="I56" s="15"/>
      <c r="J56" s="20"/>
      <c r="K56" s="8"/>
      <c r="L56" s="8"/>
    </row>
    <row r="57" spans="1:12">
      <c r="A57" s="8">
        <v>29</v>
      </c>
      <c r="B57" s="8" t="s">
        <v>22</v>
      </c>
      <c r="C57" s="8" t="s">
        <v>12</v>
      </c>
      <c r="D57" s="8">
        <v>11155.65</v>
      </c>
      <c r="E57" s="8">
        <v>110.54</v>
      </c>
      <c r="F57" s="15">
        <v>3.17</v>
      </c>
      <c r="G57" s="15">
        <v>0</v>
      </c>
      <c r="H57" s="15">
        <v>0</v>
      </c>
      <c r="I57" s="15">
        <v>0</v>
      </c>
      <c r="J57" s="20">
        <f>SUM(D57:I57)</f>
        <v>11269.36</v>
      </c>
      <c r="K57" s="8"/>
      <c r="L57" s="8"/>
    </row>
    <row r="58" spans="1:12">
      <c r="A58" s="8"/>
      <c r="B58" s="8"/>
      <c r="C58" s="8" t="s">
        <v>35</v>
      </c>
      <c r="D58" s="8">
        <v>530.01</v>
      </c>
      <c r="E58" s="8">
        <v>5.26</v>
      </c>
      <c r="F58" s="15">
        <v>0.14000000000000001</v>
      </c>
      <c r="G58" s="15">
        <v>0</v>
      </c>
      <c r="H58" s="15">
        <v>0</v>
      </c>
      <c r="I58" s="15">
        <v>0</v>
      </c>
      <c r="J58" s="20">
        <f>SUM(D58:I58)</f>
        <v>535.41</v>
      </c>
      <c r="K58" s="8"/>
      <c r="L58" s="8"/>
    </row>
    <row r="59" spans="1:12">
      <c r="A59" s="8"/>
      <c r="B59" s="8"/>
      <c r="C59" s="8" t="s">
        <v>13</v>
      </c>
      <c r="D59" s="8">
        <v>794.65</v>
      </c>
      <c r="E59" s="8">
        <v>7.69</v>
      </c>
      <c r="F59" s="15">
        <v>0.21</v>
      </c>
      <c r="G59" s="15">
        <v>0</v>
      </c>
      <c r="H59" s="15">
        <v>0</v>
      </c>
      <c r="I59" s="15">
        <v>0</v>
      </c>
      <c r="J59" s="20">
        <f>SUM(D59:I59)</f>
        <v>802.55000000000007</v>
      </c>
      <c r="K59" s="8"/>
      <c r="L59" s="8"/>
    </row>
    <row r="60" spans="1:12" ht="15.75" thickBot="1">
      <c r="A60" s="8"/>
      <c r="B60" s="8"/>
      <c r="C60" s="8" t="s">
        <v>78</v>
      </c>
      <c r="D60" s="27">
        <v>1539.93</v>
      </c>
      <c r="E60" s="27">
        <v>15.37</v>
      </c>
      <c r="F60" s="28">
        <v>0.33</v>
      </c>
      <c r="G60" s="28">
        <v>0</v>
      </c>
      <c r="H60" s="28">
        <v>0</v>
      </c>
      <c r="I60" s="28">
        <v>0</v>
      </c>
      <c r="J60" s="29">
        <f>SUM(D60:I60)</f>
        <v>1555.6299999999999</v>
      </c>
      <c r="K60" s="8"/>
      <c r="L60" s="8"/>
    </row>
    <row r="61" spans="1:12">
      <c r="A61" s="8"/>
      <c r="B61" s="8"/>
      <c r="C61" s="8"/>
      <c r="D61" s="8"/>
      <c r="E61" s="8"/>
      <c r="F61" s="15"/>
      <c r="G61" s="15"/>
      <c r="H61" s="15"/>
      <c r="I61" s="15"/>
      <c r="J61" s="20"/>
      <c r="K61" s="8"/>
      <c r="L61" s="8"/>
    </row>
    <row r="62" spans="1:12" ht="15.75" thickBot="1">
      <c r="A62" s="8"/>
      <c r="B62" s="8"/>
      <c r="C62" s="8" t="s">
        <v>10</v>
      </c>
      <c r="D62" s="30">
        <f t="shared" ref="D62:I62" si="8">SUM(D57:D60)</f>
        <v>14020.24</v>
      </c>
      <c r="E62" s="30">
        <f t="shared" si="8"/>
        <v>138.86000000000001</v>
      </c>
      <c r="F62" s="30">
        <f t="shared" si="8"/>
        <v>3.85</v>
      </c>
      <c r="G62" s="30">
        <f t="shared" si="8"/>
        <v>0</v>
      </c>
      <c r="H62" s="30">
        <f t="shared" si="8"/>
        <v>0</v>
      </c>
      <c r="I62" s="30">
        <f t="shared" si="8"/>
        <v>0</v>
      </c>
      <c r="J62" s="31">
        <f>SUM(D62:I62)</f>
        <v>14162.95</v>
      </c>
      <c r="K62" s="8"/>
      <c r="L62" s="8"/>
    </row>
    <row r="63" spans="1:12" ht="15.75" thickTop="1">
      <c r="A63" s="8"/>
      <c r="B63" s="8"/>
      <c r="C63" s="8"/>
      <c r="D63" s="8"/>
      <c r="E63" s="8"/>
      <c r="F63" s="15"/>
      <c r="G63" s="15"/>
      <c r="H63" s="15"/>
      <c r="I63" s="15"/>
      <c r="J63" s="20"/>
      <c r="K63" s="8"/>
      <c r="L63" s="8"/>
    </row>
    <row r="64" spans="1:12">
      <c r="A64" s="8">
        <v>30</v>
      </c>
      <c r="B64" s="8" t="s">
        <v>23</v>
      </c>
      <c r="C64" s="8" t="s">
        <v>12</v>
      </c>
      <c r="D64" s="8">
        <v>4842.09</v>
      </c>
      <c r="E64" s="8">
        <v>78.45</v>
      </c>
      <c r="F64" s="15">
        <v>16.809999999999999</v>
      </c>
      <c r="G64" s="15">
        <v>15.51</v>
      </c>
      <c r="H64" s="15">
        <v>14.58</v>
      </c>
      <c r="I64" s="15">
        <v>0</v>
      </c>
      <c r="J64" s="20">
        <f>SUM(D64:I64)</f>
        <v>4967.4400000000005</v>
      </c>
      <c r="K64" s="8"/>
      <c r="L64" s="8"/>
    </row>
    <row r="65" spans="1:12" ht="15.75" thickBot="1">
      <c r="A65" s="8"/>
      <c r="B65" s="8"/>
      <c r="C65" s="8" t="s">
        <v>13</v>
      </c>
      <c r="D65" s="27"/>
      <c r="E65" s="27"/>
      <c r="F65" s="28"/>
      <c r="G65" s="28"/>
      <c r="H65" s="28"/>
      <c r="I65" s="28"/>
      <c r="J65" s="29"/>
      <c r="K65" s="8"/>
      <c r="L65" s="8"/>
    </row>
    <row r="66" spans="1:12">
      <c r="A66" s="8"/>
      <c r="B66" s="8"/>
      <c r="C66" s="8"/>
      <c r="D66" s="8"/>
      <c r="E66" s="8"/>
      <c r="F66" s="15"/>
      <c r="G66" s="15"/>
      <c r="H66" s="15"/>
      <c r="I66" s="15"/>
      <c r="J66" s="20"/>
      <c r="K66" s="8"/>
      <c r="L66" s="8"/>
    </row>
    <row r="67" spans="1:12" ht="15.75" thickBot="1">
      <c r="A67" s="8"/>
      <c r="B67" s="8"/>
      <c r="C67" s="15" t="s">
        <v>10</v>
      </c>
      <c r="D67" s="30">
        <f t="shared" ref="D67:I67" si="9">SUM(D64:D65)</f>
        <v>4842.09</v>
      </c>
      <c r="E67" s="30">
        <f t="shared" si="9"/>
        <v>78.45</v>
      </c>
      <c r="F67" s="30">
        <f t="shared" si="9"/>
        <v>16.809999999999999</v>
      </c>
      <c r="G67" s="30">
        <f t="shared" si="9"/>
        <v>15.51</v>
      </c>
      <c r="H67" s="30">
        <f t="shared" si="9"/>
        <v>14.58</v>
      </c>
      <c r="I67" s="30">
        <f t="shared" si="9"/>
        <v>0</v>
      </c>
      <c r="J67" s="31">
        <f>SUM(D67:I67)</f>
        <v>4967.4400000000005</v>
      </c>
      <c r="K67" s="8"/>
      <c r="L67" s="8"/>
    </row>
    <row r="68" spans="1:12" ht="15.75" thickTop="1">
      <c r="A68" s="8"/>
      <c r="B68" s="8"/>
      <c r="C68" s="8"/>
      <c r="D68" s="8"/>
      <c r="E68" s="8"/>
      <c r="F68" s="15"/>
      <c r="G68" s="15"/>
      <c r="H68" s="15"/>
      <c r="I68" s="15"/>
      <c r="J68" s="20"/>
      <c r="K68" s="8"/>
      <c r="L68" s="8"/>
    </row>
    <row r="69" spans="1:12">
      <c r="A69" s="8"/>
      <c r="B69" s="8"/>
      <c r="C69" s="8"/>
      <c r="D69" s="8"/>
      <c r="E69" s="8"/>
      <c r="F69" s="15"/>
      <c r="G69" s="15"/>
      <c r="H69" s="15"/>
      <c r="I69" s="15"/>
      <c r="J69" s="20"/>
      <c r="K69" s="8"/>
      <c r="L69" s="8"/>
    </row>
    <row r="70" spans="1:12">
      <c r="A70" s="8">
        <v>31</v>
      </c>
      <c r="B70" s="8" t="s">
        <v>24</v>
      </c>
      <c r="C70" s="8" t="s">
        <v>12</v>
      </c>
      <c r="D70" s="8">
        <v>1794.59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20">
        <f>SUM(D70:I70)</f>
        <v>1794.59</v>
      </c>
      <c r="K70" s="8"/>
      <c r="L70" s="8"/>
    </row>
    <row r="71" spans="1:12" ht="15.75" thickBot="1">
      <c r="A71" s="8"/>
      <c r="B71" s="8"/>
      <c r="C71" s="8" t="s">
        <v>13</v>
      </c>
      <c r="D71" s="27">
        <v>66.150000000000006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9">
        <f>SUM(D71:I71)</f>
        <v>66.150000000000006</v>
      </c>
      <c r="K71" s="8"/>
      <c r="L71" s="8"/>
    </row>
    <row r="72" spans="1:12">
      <c r="A72" s="8"/>
      <c r="B72" s="8"/>
      <c r="C72" s="8"/>
      <c r="D72" s="8"/>
      <c r="E72" s="8"/>
      <c r="F72" s="15"/>
      <c r="G72" s="15"/>
      <c r="H72" s="15"/>
      <c r="I72" s="15"/>
      <c r="J72" s="20"/>
      <c r="K72" s="8"/>
      <c r="L72" s="8"/>
    </row>
    <row r="73" spans="1:12" ht="15.75" thickBot="1">
      <c r="A73" s="8"/>
      <c r="B73" s="8"/>
      <c r="C73" s="8" t="s">
        <v>10</v>
      </c>
      <c r="D73" s="30">
        <f t="shared" ref="D73:I73" si="10">SUM(D70:D71)</f>
        <v>1860.74</v>
      </c>
      <c r="E73" s="30">
        <f t="shared" si="10"/>
        <v>0</v>
      </c>
      <c r="F73" s="30">
        <f t="shared" si="10"/>
        <v>0</v>
      </c>
      <c r="G73" s="30">
        <f t="shared" si="10"/>
        <v>0</v>
      </c>
      <c r="H73" s="30">
        <f t="shared" si="10"/>
        <v>0</v>
      </c>
      <c r="I73" s="30">
        <f t="shared" si="10"/>
        <v>0</v>
      </c>
      <c r="J73" s="31">
        <f>SUM(D73:I73)</f>
        <v>1860.74</v>
      </c>
      <c r="K73" s="8"/>
      <c r="L73" s="8"/>
    </row>
    <row r="74" spans="1:12" ht="15.75" thickTop="1">
      <c r="A74" s="8"/>
      <c r="B74" s="8"/>
      <c r="C74" s="8"/>
      <c r="D74" s="8"/>
      <c r="E74" s="8"/>
      <c r="F74" s="15"/>
      <c r="G74" s="15"/>
      <c r="H74" s="15"/>
      <c r="I74" s="15"/>
      <c r="J74" s="20"/>
      <c r="K74" s="8"/>
      <c r="L74" s="8"/>
    </row>
    <row r="75" spans="1:12">
      <c r="A75" s="8"/>
      <c r="B75" s="8"/>
      <c r="C75" s="8"/>
      <c r="D75" s="8"/>
      <c r="E75" s="8"/>
      <c r="F75" s="15"/>
      <c r="G75" s="15"/>
      <c r="H75" s="15"/>
      <c r="I75" s="15"/>
      <c r="J75" s="20"/>
      <c r="K75" s="8"/>
      <c r="L75" s="8"/>
    </row>
    <row r="76" spans="1:12">
      <c r="A76" s="8">
        <v>32</v>
      </c>
      <c r="B76" s="8" t="s">
        <v>25</v>
      </c>
      <c r="C76" s="8" t="s">
        <v>12</v>
      </c>
      <c r="D76" s="8">
        <v>12509.84</v>
      </c>
      <c r="E76" s="8">
        <v>512.83000000000004</v>
      </c>
      <c r="F76" s="15">
        <v>378.07</v>
      </c>
      <c r="G76" s="15">
        <v>169.62</v>
      </c>
      <c r="H76" s="15">
        <v>137.78</v>
      </c>
      <c r="I76" s="15">
        <v>0</v>
      </c>
      <c r="J76" s="20">
        <f>SUM(D76:I76)</f>
        <v>13708.140000000001</v>
      </c>
      <c r="K76" s="8"/>
      <c r="L76" s="8"/>
    </row>
    <row r="77" spans="1:12">
      <c r="A77" s="8"/>
      <c r="B77" s="8"/>
      <c r="C77" s="8" t="s">
        <v>13</v>
      </c>
      <c r="D77" s="8">
        <v>278.01</v>
      </c>
      <c r="E77" s="8">
        <v>12.25</v>
      </c>
      <c r="F77" s="15">
        <v>9.73</v>
      </c>
      <c r="G77" s="15">
        <v>6.89</v>
      </c>
      <c r="H77" s="15">
        <v>5.92</v>
      </c>
      <c r="I77" s="15">
        <v>0</v>
      </c>
      <c r="J77" s="20">
        <f>SUM(D77:I77)</f>
        <v>312.8</v>
      </c>
      <c r="K77" s="8"/>
      <c r="L77" s="8"/>
    </row>
    <row r="78" spans="1:12">
      <c r="A78" s="8"/>
      <c r="B78" s="8"/>
      <c r="C78" s="8" t="s">
        <v>73</v>
      </c>
      <c r="D78" s="26">
        <v>0</v>
      </c>
      <c r="E78" s="26">
        <v>0</v>
      </c>
      <c r="F78" s="26">
        <v>0</v>
      </c>
      <c r="G78" s="8">
        <v>18.61</v>
      </c>
      <c r="H78" s="26">
        <v>14.3</v>
      </c>
      <c r="I78" s="8">
        <v>0</v>
      </c>
      <c r="J78" s="20">
        <f>SUM(D78:I78)</f>
        <v>32.909999999999997</v>
      </c>
      <c r="K78" s="8"/>
      <c r="L78" s="8"/>
    </row>
    <row r="79" spans="1:12" ht="15.75" thickBot="1">
      <c r="A79" s="8"/>
      <c r="B79" s="8"/>
      <c r="C79" s="8" t="s">
        <v>78</v>
      </c>
      <c r="D79" s="33">
        <v>0</v>
      </c>
      <c r="E79" s="33">
        <v>0</v>
      </c>
      <c r="F79" s="33">
        <v>0</v>
      </c>
      <c r="G79" s="27">
        <v>27.9</v>
      </c>
      <c r="H79" s="27">
        <v>21.7</v>
      </c>
      <c r="I79" s="27">
        <v>0</v>
      </c>
      <c r="J79" s="29">
        <f>SUM(D79:I79)</f>
        <v>49.599999999999994</v>
      </c>
      <c r="K79" s="8"/>
      <c r="L79" s="8"/>
    </row>
    <row r="80" spans="1:12">
      <c r="A80" s="8"/>
      <c r="B80" s="8"/>
      <c r="C80" s="8"/>
      <c r="D80" s="8"/>
      <c r="E80" s="8"/>
      <c r="F80" s="15"/>
      <c r="G80" s="8"/>
      <c r="H80" s="8"/>
      <c r="I80" s="8"/>
      <c r="J80" s="20"/>
      <c r="K80" s="8"/>
      <c r="L80" s="8"/>
    </row>
    <row r="81" spans="1:12" ht="15.75" thickBot="1">
      <c r="A81" s="8"/>
      <c r="B81" s="8"/>
      <c r="C81" s="8" t="s">
        <v>10</v>
      </c>
      <c r="D81" s="30">
        <f t="shared" ref="D81:I81" si="11">SUM(D76:D79)</f>
        <v>12787.85</v>
      </c>
      <c r="E81" s="30">
        <f t="shared" si="11"/>
        <v>525.08000000000004</v>
      </c>
      <c r="F81" s="30">
        <f t="shared" si="11"/>
        <v>387.8</v>
      </c>
      <c r="G81" s="30">
        <f t="shared" si="11"/>
        <v>223.02</v>
      </c>
      <c r="H81" s="30">
        <f t="shared" si="11"/>
        <v>179.7</v>
      </c>
      <c r="I81" s="30">
        <f t="shared" si="11"/>
        <v>0</v>
      </c>
      <c r="J81" s="31">
        <f>SUM(D81:I81)</f>
        <v>14103.45</v>
      </c>
      <c r="K81" s="8"/>
      <c r="L81" s="8"/>
    </row>
    <row r="82" spans="1:12" ht="15.75" thickTop="1">
      <c r="A82" s="8"/>
      <c r="B82" s="8"/>
      <c r="C82" s="8"/>
      <c r="D82" s="8"/>
      <c r="E82" s="8"/>
      <c r="F82" s="15"/>
      <c r="G82" s="15"/>
      <c r="H82" s="15"/>
      <c r="I82" s="15"/>
      <c r="J82" s="20"/>
      <c r="K82" s="8"/>
      <c r="L82" s="8"/>
    </row>
    <row r="83" spans="1:12">
      <c r="A83" s="8"/>
      <c r="B83" s="8"/>
      <c r="C83" s="8"/>
      <c r="D83" s="8"/>
      <c r="E83" s="8"/>
      <c r="F83" s="15"/>
      <c r="G83" s="15"/>
      <c r="H83" s="15"/>
      <c r="I83" s="15"/>
      <c r="J83" s="20"/>
      <c r="K83" s="8"/>
      <c r="L83" s="8"/>
    </row>
    <row r="84" spans="1:12">
      <c r="A84" s="8">
        <v>33</v>
      </c>
      <c r="B84" s="8" t="s">
        <v>26</v>
      </c>
      <c r="C84" s="8" t="s">
        <v>12</v>
      </c>
      <c r="D84" s="8">
        <v>6573.76</v>
      </c>
      <c r="E84" s="8">
        <v>511.33</v>
      </c>
      <c r="F84" s="15">
        <v>195.45</v>
      </c>
      <c r="G84" s="15">
        <v>0</v>
      </c>
      <c r="H84" s="15">
        <v>0</v>
      </c>
      <c r="I84" s="15">
        <v>0</v>
      </c>
      <c r="J84" s="20">
        <f>SUM(D84:I84)</f>
        <v>7280.54</v>
      </c>
      <c r="K84" s="8"/>
      <c r="L84" s="8"/>
    </row>
    <row r="85" spans="1:12" ht="15.75" thickBot="1">
      <c r="A85" s="8"/>
      <c r="B85" s="8"/>
      <c r="C85" s="8" t="s">
        <v>13</v>
      </c>
      <c r="D85" s="27">
        <v>101.68</v>
      </c>
      <c r="E85" s="27">
        <v>7.69</v>
      </c>
      <c r="F85" s="28">
        <v>2.87</v>
      </c>
      <c r="G85" s="28">
        <v>0</v>
      </c>
      <c r="H85" s="28">
        <v>0</v>
      </c>
      <c r="I85" s="28">
        <v>0</v>
      </c>
      <c r="J85" s="29">
        <f>SUM(D85:I85)</f>
        <v>112.24000000000001</v>
      </c>
      <c r="K85" s="8"/>
      <c r="L85" s="8"/>
    </row>
    <row r="86" spans="1:12">
      <c r="A86" s="8"/>
      <c r="B86" s="8"/>
      <c r="C86" s="8"/>
      <c r="D86" s="8"/>
      <c r="E86" s="8"/>
      <c r="F86" s="15"/>
      <c r="G86" s="15"/>
      <c r="H86" s="15"/>
      <c r="I86" s="15"/>
      <c r="J86" s="20"/>
      <c r="K86" s="8"/>
      <c r="L86" s="8"/>
    </row>
    <row r="87" spans="1:12" ht="15.75" thickBot="1">
      <c r="A87" s="8"/>
      <c r="B87" s="8"/>
      <c r="C87" s="8" t="s">
        <v>10</v>
      </c>
      <c r="D87" s="30">
        <f t="shared" ref="D87:I87" si="12">SUM(D84:D85)</f>
        <v>6675.4400000000005</v>
      </c>
      <c r="E87" s="30">
        <f t="shared" si="12"/>
        <v>519.02</v>
      </c>
      <c r="F87" s="30">
        <f t="shared" si="12"/>
        <v>198.32</v>
      </c>
      <c r="G87" s="30">
        <f t="shared" si="12"/>
        <v>0</v>
      </c>
      <c r="H87" s="30">
        <f t="shared" si="12"/>
        <v>0</v>
      </c>
      <c r="I87" s="30">
        <f t="shared" si="12"/>
        <v>0</v>
      </c>
      <c r="J87" s="31">
        <f>SUM(D87:I87)</f>
        <v>7392.7800000000007</v>
      </c>
      <c r="K87" s="8"/>
      <c r="L87" s="8"/>
    </row>
    <row r="88" spans="1:12" ht="15.75" thickTop="1">
      <c r="A88" s="8"/>
      <c r="B88" s="8"/>
      <c r="C88" s="8"/>
      <c r="D88" s="8"/>
      <c r="E88" s="8"/>
      <c r="F88" s="15"/>
      <c r="G88" s="15"/>
      <c r="H88" s="15"/>
      <c r="I88" s="15"/>
      <c r="J88" s="20"/>
      <c r="K88" s="8"/>
      <c r="L88" s="8"/>
    </row>
    <row r="89" spans="1:12">
      <c r="A89" s="8"/>
      <c r="B89" s="8"/>
      <c r="C89" s="8"/>
      <c r="D89" s="8"/>
      <c r="E89" s="8"/>
      <c r="F89" s="15"/>
      <c r="G89" s="15"/>
      <c r="H89" s="15"/>
      <c r="I89" s="15"/>
      <c r="J89" s="20"/>
      <c r="K89" s="8"/>
      <c r="L89" s="8"/>
    </row>
    <row r="90" spans="1:12">
      <c r="A90" s="8">
        <v>34</v>
      </c>
      <c r="B90" s="8" t="s">
        <v>27</v>
      </c>
      <c r="C90" s="8" t="s">
        <v>12</v>
      </c>
      <c r="D90" s="8">
        <v>7036.61</v>
      </c>
      <c r="E90" s="8">
        <v>1124.18</v>
      </c>
      <c r="F90" s="15">
        <v>145.18</v>
      </c>
      <c r="G90" s="15">
        <v>2.84</v>
      </c>
      <c r="H90" s="15">
        <v>13.22</v>
      </c>
      <c r="I90" s="15">
        <v>0</v>
      </c>
      <c r="J90" s="20">
        <f>SUM(D90:I90)</f>
        <v>8322.0299999999988</v>
      </c>
      <c r="K90" s="8"/>
      <c r="L90" s="8"/>
    </row>
    <row r="91" spans="1:12">
      <c r="A91" s="8"/>
      <c r="B91" s="8"/>
      <c r="C91" s="8" t="s">
        <v>13</v>
      </c>
      <c r="D91" s="8">
        <v>566.87</v>
      </c>
      <c r="E91" s="8">
        <v>90.6</v>
      </c>
      <c r="F91" s="15">
        <v>12.82</v>
      </c>
      <c r="G91" s="15">
        <v>0.27</v>
      </c>
      <c r="H91" s="15">
        <v>1.1000000000000001</v>
      </c>
      <c r="I91" s="15">
        <v>0</v>
      </c>
      <c r="J91" s="20">
        <f>SUM(D91:I91)</f>
        <v>671.66000000000008</v>
      </c>
      <c r="K91" s="8"/>
      <c r="L91" s="8"/>
    </row>
    <row r="92" spans="1:12" ht="15.75" thickBot="1">
      <c r="A92" s="8"/>
      <c r="B92" s="8"/>
      <c r="C92" s="8" t="s">
        <v>78</v>
      </c>
      <c r="D92" s="27">
        <v>1172.7</v>
      </c>
      <c r="E92" s="27">
        <v>180.61</v>
      </c>
      <c r="F92" s="28">
        <v>24.33</v>
      </c>
      <c r="G92" s="28">
        <v>0.72</v>
      </c>
      <c r="H92" s="28">
        <v>1.45</v>
      </c>
      <c r="I92" s="28">
        <v>0</v>
      </c>
      <c r="J92" s="29">
        <f>SUM(D92:I92)</f>
        <v>1379.81</v>
      </c>
      <c r="K92" s="8"/>
      <c r="L92" s="8"/>
    </row>
    <row r="93" spans="1:12">
      <c r="A93" s="8"/>
      <c r="B93" s="8"/>
      <c r="C93" s="8"/>
      <c r="D93" s="8"/>
      <c r="E93" s="8"/>
      <c r="F93" s="15"/>
      <c r="G93" s="15"/>
      <c r="H93" s="15"/>
      <c r="I93" s="15"/>
      <c r="J93" s="20"/>
      <c r="K93" s="8"/>
      <c r="L93" s="8"/>
    </row>
    <row r="94" spans="1:12" ht="15.75" thickBot="1">
      <c r="A94" s="8"/>
      <c r="B94" s="8"/>
      <c r="C94" s="8" t="s">
        <v>10</v>
      </c>
      <c r="D94" s="30">
        <f t="shared" ref="D94:I94" si="13">SUM(D90:D93)</f>
        <v>8776.18</v>
      </c>
      <c r="E94" s="30">
        <f t="shared" si="13"/>
        <v>1395.3899999999999</v>
      </c>
      <c r="F94" s="30">
        <f t="shared" si="13"/>
        <v>182.32999999999998</v>
      </c>
      <c r="G94" s="30">
        <f t="shared" si="13"/>
        <v>3.83</v>
      </c>
      <c r="H94" s="30">
        <f t="shared" si="13"/>
        <v>15.77</v>
      </c>
      <c r="I94" s="30">
        <f t="shared" si="13"/>
        <v>0</v>
      </c>
      <c r="J94" s="31">
        <f>SUM(D94:I94)</f>
        <v>10373.5</v>
      </c>
      <c r="K94" s="8"/>
      <c r="L94" s="8"/>
    </row>
    <row r="95" spans="1:12" ht="15.75" thickTop="1">
      <c r="A95" s="8"/>
      <c r="B95" s="8"/>
      <c r="C95" s="8"/>
      <c r="D95" s="8"/>
      <c r="E95" s="8"/>
      <c r="F95" s="15"/>
      <c r="G95" s="15"/>
      <c r="H95" s="15"/>
      <c r="I95" s="15"/>
      <c r="J95" s="20"/>
      <c r="K95" s="8"/>
      <c r="L95" s="8"/>
    </row>
    <row r="96" spans="1:12">
      <c r="A96" s="8"/>
      <c r="B96" s="8"/>
      <c r="C96" s="8"/>
      <c r="D96" s="8"/>
      <c r="E96" s="8"/>
      <c r="F96" s="15"/>
      <c r="G96" s="15"/>
      <c r="H96" s="15"/>
      <c r="I96" s="15"/>
      <c r="J96" s="20"/>
      <c r="K96" s="8"/>
      <c r="L96" s="8"/>
    </row>
    <row r="97" spans="1:12" ht="15.75" thickBot="1">
      <c r="A97" s="8">
        <v>35</v>
      </c>
      <c r="B97" s="8" t="s">
        <v>28</v>
      </c>
      <c r="C97" s="8" t="s">
        <v>12</v>
      </c>
      <c r="D97" s="27">
        <v>5333.46</v>
      </c>
      <c r="E97" s="27">
        <v>251.92</v>
      </c>
      <c r="F97" s="28">
        <v>98.93</v>
      </c>
      <c r="G97" s="28">
        <v>99.76</v>
      </c>
      <c r="H97" s="28">
        <v>9.1</v>
      </c>
      <c r="I97" s="28">
        <v>0</v>
      </c>
      <c r="J97" s="29">
        <f>SUM(D97:I97)</f>
        <v>5793.170000000001</v>
      </c>
      <c r="K97" s="8"/>
      <c r="L97" s="8"/>
    </row>
    <row r="98" spans="1:12">
      <c r="A98" s="8"/>
      <c r="B98" s="8"/>
      <c r="C98" s="8"/>
      <c r="D98" s="8"/>
      <c r="E98" s="8"/>
      <c r="F98" s="24"/>
      <c r="G98" s="24"/>
      <c r="H98" s="24"/>
      <c r="I98" s="24"/>
      <c r="J98" s="25"/>
      <c r="K98" s="8"/>
      <c r="L98" s="8"/>
    </row>
    <row r="99" spans="1:12" ht="15.75" thickBot="1">
      <c r="A99" s="8"/>
      <c r="B99" s="8"/>
      <c r="C99" s="8" t="s">
        <v>10</v>
      </c>
      <c r="D99" s="30">
        <f t="shared" ref="D99:I99" si="14">SUM(D97:D98)</f>
        <v>5333.46</v>
      </c>
      <c r="E99" s="30">
        <f t="shared" si="14"/>
        <v>251.92</v>
      </c>
      <c r="F99" s="30">
        <f t="shared" si="14"/>
        <v>98.93</v>
      </c>
      <c r="G99" s="30">
        <f t="shared" si="14"/>
        <v>99.76</v>
      </c>
      <c r="H99" s="30">
        <f t="shared" si="14"/>
        <v>9.1</v>
      </c>
      <c r="I99" s="30">
        <f t="shared" si="14"/>
        <v>0</v>
      </c>
      <c r="J99" s="31">
        <f>SUM(D99:I99)</f>
        <v>5793.170000000001</v>
      </c>
      <c r="K99" s="8"/>
      <c r="L99" s="8"/>
    </row>
    <row r="100" spans="1:12" ht="15.75" thickTop="1">
      <c r="A100" s="8"/>
      <c r="B100" s="8"/>
      <c r="C100" s="8"/>
      <c r="D100" s="8"/>
      <c r="E100" s="8"/>
      <c r="F100" s="15"/>
      <c r="G100" s="15"/>
      <c r="H100" s="15"/>
      <c r="I100" s="15"/>
      <c r="J100" s="20"/>
      <c r="K100" s="8"/>
      <c r="L100" s="8"/>
    </row>
    <row r="101" spans="1:12">
      <c r="A101" s="8"/>
      <c r="B101" s="8"/>
      <c r="C101" s="8"/>
      <c r="D101" s="8"/>
      <c r="E101" s="8"/>
      <c r="F101" s="15"/>
      <c r="G101" s="15"/>
      <c r="H101" s="15"/>
      <c r="I101" s="15"/>
      <c r="J101" s="20"/>
      <c r="K101" s="8"/>
      <c r="L101" s="8"/>
    </row>
    <row r="102" spans="1:12">
      <c r="A102" s="8">
        <v>36</v>
      </c>
      <c r="B102" s="8" t="s">
        <v>29</v>
      </c>
      <c r="C102" s="8" t="s">
        <v>12</v>
      </c>
      <c r="D102" s="8">
        <v>6271.58</v>
      </c>
      <c r="E102" s="8">
        <v>317.99</v>
      </c>
      <c r="F102" s="15">
        <v>318.79000000000002</v>
      </c>
      <c r="G102" s="15">
        <v>166.6</v>
      </c>
      <c r="H102" s="15">
        <v>6.24</v>
      </c>
      <c r="I102" s="15">
        <v>0</v>
      </c>
      <c r="J102" s="20">
        <f>SUM(D102:I102)</f>
        <v>7081.2</v>
      </c>
      <c r="K102" s="8"/>
      <c r="L102" s="8"/>
    </row>
    <row r="103" spans="1:12" ht="15.75" thickBot="1">
      <c r="A103" s="8"/>
      <c r="B103" s="8"/>
      <c r="C103" s="8" t="s">
        <v>13</v>
      </c>
      <c r="D103" s="27">
        <v>419.83</v>
      </c>
      <c r="E103" s="27">
        <v>21.32</v>
      </c>
      <c r="F103" s="28">
        <v>20.04</v>
      </c>
      <c r="G103" s="28">
        <v>10.67</v>
      </c>
      <c r="H103" s="28">
        <v>0.37</v>
      </c>
      <c r="I103" s="28">
        <v>0</v>
      </c>
      <c r="J103" s="29">
        <f>SUM(D103:I103)</f>
        <v>472.23</v>
      </c>
      <c r="K103" s="8"/>
      <c r="L103" s="8"/>
    </row>
    <row r="104" spans="1:12">
      <c r="A104" s="8"/>
      <c r="B104" s="8"/>
      <c r="C104" s="8"/>
      <c r="D104" s="8"/>
      <c r="E104" s="8"/>
      <c r="F104" s="15"/>
      <c r="G104" s="15"/>
      <c r="H104" s="15"/>
      <c r="I104" s="15"/>
      <c r="J104" s="20"/>
      <c r="K104" s="8"/>
      <c r="L104" s="8"/>
    </row>
    <row r="105" spans="1:12" ht="15.75" thickBot="1">
      <c r="A105" s="8"/>
      <c r="B105" s="8"/>
      <c r="C105" s="8" t="s">
        <v>10</v>
      </c>
      <c r="D105" s="30">
        <f t="shared" ref="D105:I105" si="15">SUM(D102:D103)</f>
        <v>6691.41</v>
      </c>
      <c r="E105" s="30">
        <f t="shared" si="15"/>
        <v>339.31</v>
      </c>
      <c r="F105" s="30">
        <f t="shared" si="15"/>
        <v>338.83000000000004</v>
      </c>
      <c r="G105" s="30">
        <f t="shared" si="15"/>
        <v>177.26999999999998</v>
      </c>
      <c r="H105" s="30">
        <f t="shared" si="15"/>
        <v>6.61</v>
      </c>
      <c r="I105" s="30">
        <f t="shared" si="15"/>
        <v>0</v>
      </c>
      <c r="J105" s="31">
        <f>SUM(D105:I105)</f>
        <v>7553.4299999999994</v>
      </c>
      <c r="K105" s="8"/>
      <c r="L105" s="8"/>
    </row>
    <row r="106" spans="1:12" ht="15.75" thickTop="1">
      <c r="A106" s="8"/>
      <c r="B106" s="8"/>
      <c r="C106" s="8"/>
      <c r="D106" s="8"/>
      <c r="E106" s="8"/>
      <c r="F106" s="15"/>
      <c r="G106" s="15"/>
      <c r="H106" s="15"/>
      <c r="I106" s="15"/>
      <c r="J106" s="20"/>
      <c r="K106" s="8"/>
      <c r="L106" s="8"/>
    </row>
    <row r="107" spans="1:12">
      <c r="A107" s="8"/>
      <c r="B107" s="8"/>
      <c r="C107" s="8"/>
      <c r="D107" s="8"/>
      <c r="E107" s="8"/>
      <c r="F107" s="15"/>
      <c r="G107" s="15"/>
      <c r="H107" s="15"/>
      <c r="I107" s="15"/>
      <c r="J107" s="20"/>
      <c r="K107" s="8"/>
      <c r="L107" s="8"/>
    </row>
    <row r="108" spans="1:12" ht="15.75" thickBot="1">
      <c r="A108" s="8">
        <v>37</v>
      </c>
      <c r="B108" s="8" t="s">
        <v>30</v>
      </c>
      <c r="C108" s="8" t="s">
        <v>12</v>
      </c>
      <c r="D108" s="27">
        <v>5951.86</v>
      </c>
      <c r="E108" s="27">
        <v>522.61</v>
      </c>
      <c r="F108" s="28">
        <v>455.92</v>
      </c>
      <c r="G108" s="28">
        <v>13.99</v>
      </c>
      <c r="H108" s="28">
        <v>17.28</v>
      </c>
      <c r="I108" s="28">
        <v>0</v>
      </c>
      <c r="J108" s="29">
        <f>SUM(D108:I108)</f>
        <v>6961.6599999999989</v>
      </c>
      <c r="K108" s="8"/>
      <c r="L108" s="8"/>
    </row>
    <row r="109" spans="1:12">
      <c r="A109" s="8"/>
      <c r="B109" s="8"/>
      <c r="C109" s="8"/>
      <c r="D109" s="8"/>
      <c r="E109" s="8"/>
      <c r="F109" s="24"/>
      <c r="G109" s="24"/>
      <c r="H109" s="24"/>
      <c r="I109" s="24"/>
      <c r="J109" s="25"/>
      <c r="K109" s="8"/>
      <c r="L109" s="8"/>
    </row>
    <row r="110" spans="1:12" ht="15.75" thickBot="1">
      <c r="A110" s="8"/>
      <c r="B110" s="8"/>
      <c r="C110" s="8" t="s">
        <v>10</v>
      </c>
      <c r="D110" s="30">
        <f t="shared" ref="D110:I110" si="16">SUM(D108:D109)</f>
        <v>5951.86</v>
      </c>
      <c r="E110" s="30">
        <f t="shared" si="16"/>
        <v>522.61</v>
      </c>
      <c r="F110" s="30">
        <f t="shared" si="16"/>
        <v>455.92</v>
      </c>
      <c r="G110" s="30">
        <f t="shared" si="16"/>
        <v>13.99</v>
      </c>
      <c r="H110" s="30">
        <f t="shared" si="16"/>
        <v>17.28</v>
      </c>
      <c r="I110" s="30">
        <f t="shared" si="16"/>
        <v>0</v>
      </c>
      <c r="J110" s="31">
        <f>SUM(D110:I110)</f>
        <v>6961.6599999999989</v>
      </c>
      <c r="K110" s="8"/>
      <c r="L110" s="8"/>
    </row>
    <row r="111" spans="1:12" ht="15.75" thickTop="1">
      <c r="A111" s="8"/>
      <c r="B111" s="8"/>
      <c r="C111" s="8"/>
      <c r="D111" s="8"/>
      <c r="E111" s="8"/>
      <c r="F111" s="15"/>
      <c r="G111" s="15"/>
      <c r="H111" s="15"/>
      <c r="I111" s="15"/>
      <c r="J111" s="20"/>
      <c r="K111" s="8"/>
      <c r="L111" s="8"/>
    </row>
    <row r="112" spans="1:12">
      <c r="A112" s="8"/>
      <c r="B112" s="8"/>
      <c r="C112" s="8"/>
      <c r="D112" s="8"/>
      <c r="E112" s="8"/>
      <c r="F112" s="15"/>
      <c r="G112" s="15"/>
      <c r="H112" s="15"/>
      <c r="I112" s="15"/>
      <c r="J112" s="20"/>
      <c r="K112" s="8"/>
      <c r="L112" s="8"/>
    </row>
    <row r="113" spans="1:12">
      <c r="A113" s="8">
        <v>38</v>
      </c>
      <c r="B113" s="8" t="s">
        <v>31</v>
      </c>
      <c r="C113" s="8" t="s">
        <v>12</v>
      </c>
      <c r="D113" s="8">
        <v>6089.14</v>
      </c>
      <c r="E113" s="8">
        <v>70.180000000000007</v>
      </c>
      <c r="F113" s="15">
        <v>0</v>
      </c>
      <c r="G113" s="15">
        <v>0</v>
      </c>
      <c r="H113" s="15">
        <v>0</v>
      </c>
      <c r="I113" s="15">
        <v>0</v>
      </c>
      <c r="J113" s="20">
        <f>SUM(D113:I113)</f>
        <v>6159.3200000000006</v>
      </c>
      <c r="K113" s="8"/>
      <c r="L113" s="8"/>
    </row>
    <row r="114" spans="1:12">
      <c r="A114" s="8"/>
      <c r="B114" s="8"/>
      <c r="C114" s="8" t="s">
        <v>35</v>
      </c>
      <c r="D114" s="8">
        <v>778.54</v>
      </c>
      <c r="E114" s="15">
        <v>9</v>
      </c>
      <c r="F114" s="15">
        <v>0</v>
      </c>
      <c r="G114" s="15">
        <v>0</v>
      </c>
      <c r="H114" s="15">
        <v>0</v>
      </c>
      <c r="I114" s="15">
        <v>0</v>
      </c>
      <c r="J114" s="20">
        <f>SUM(D114:I114)</f>
        <v>787.54</v>
      </c>
      <c r="K114" s="8"/>
      <c r="L114" s="8"/>
    </row>
    <row r="115" spans="1:12">
      <c r="A115" s="8"/>
      <c r="B115" s="8"/>
      <c r="C115" s="8" t="s">
        <v>13</v>
      </c>
      <c r="D115" s="8">
        <v>586.97</v>
      </c>
      <c r="E115" s="8">
        <v>6.58</v>
      </c>
      <c r="F115" s="15">
        <v>0</v>
      </c>
      <c r="G115" s="15">
        <v>0</v>
      </c>
      <c r="H115" s="15">
        <v>0</v>
      </c>
      <c r="I115" s="15">
        <v>0</v>
      </c>
      <c r="J115" s="20">
        <f>SUM(D115:I115)</f>
        <v>593.55000000000007</v>
      </c>
      <c r="K115" s="8"/>
      <c r="L115" s="8"/>
    </row>
    <row r="116" spans="1:12" ht="15.75" thickBot="1">
      <c r="A116" s="8"/>
      <c r="B116" s="8"/>
      <c r="C116" s="8" t="s">
        <v>78</v>
      </c>
      <c r="D116" s="27">
        <v>1108.6500000000001</v>
      </c>
      <c r="E116" s="27">
        <v>13.99</v>
      </c>
      <c r="F116" s="28">
        <v>0</v>
      </c>
      <c r="G116" s="28">
        <v>0</v>
      </c>
      <c r="H116" s="28">
        <v>0</v>
      </c>
      <c r="I116" s="28">
        <v>0</v>
      </c>
      <c r="J116" s="29">
        <f>SUM(D116:I116)</f>
        <v>1122.6400000000001</v>
      </c>
      <c r="K116" s="8"/>
      <c r="L116" s="8"/>
    </row>
    <row r="117" spans="1:12">
      <c r="A117" s="8"/>
      <c r="B117" s="8"/>
      <c r="C117" s="8"/>
      <c r="D117" s="8"/>
      <c r="E117" s="8"/>
      <c r="F117" s="15"/>
      <c r="G117" s="15"/>
      <c r="H117" s="15"/>
      <c r="I117" s="15"/>
      <c r="J117" s="20"/>
      <c r="K117" s="8"/>
      <c r="L117" s="8"/>
    </row>
    <row r="118" spans="1:12" ht="15.75" thickBot="1">
      <c r="A118" s="8"/>
      <c r="B118" s="8"/>
      <c r="C118" s="8" t="s">
        <v>10</v>
      </c>
      <c r="D118" s="30">
        <f t="shared" ref="D118:I118" si="17">SUM(D113:D116)</f>
        <v>8563.3000000000011</v>
      </c>
      <c r="E118" s="30">
        <f t="shared" si="17"/>
        <v>99.75</v>
      </c>
      <c r="F118" s="30">
        <f t="shared" si="17"/>
        <v>0</v>
      </c>
      <c r="G118" s="30">
        <f t="shared" si="17"/>
        <v>0</v>
      </c>
      <c r="H118" s="30">
        <f t="shared" si="17"/>
        <v>0</v>
      </c>
      <c r="I118" s="30">
        <f t="shared" si="17"/>
        <v>0</v>
      </c>
      <c r="J118" s="31">
        <f>SUM(D118:I118)</f>
        <v>8663.0500000000011</v>
      </c>
      <c r="K118" s="8"/>
      <c r="L118" s="8"/>
    </row>
    <row r="119" spans="1:12" ht="15.75" thickTop="1">
      <c r="A119" s="8"/>
      <c r="B119" s="8"/>
      <c r="C119" s="8"/>
      <c r="D119" s="8"/>
      <c r="E119" s="8"/>
      <c r="F119" s="15"/>
      <c r="G119" s="15"/>
      <c r="H119" s="15"/>
      <c r="I119" s="15"/>
      <c r="J119" s="20"/>
      <c r="K119" s="8"/>
      <c r="L119" s="8"/>
    </row>
    <row r="120" spans="1:12">
      <c r="A120" s="8"/>
      <c r="B120" s="8"/>
      <c r="C120" s="8"/>
      <c r="D120" s="8"/>
      <c r="E120" s="8"/>
      <c r="F120" s="15"/>
      <c r="G120" s="15"/>
      <c r="H120" s="15"/>
      <c r="I120" s="15"/>
      <c r="J120" s="20"/>
      <c r="K120" s="8"/>
      <c r="L120" s="8"/>
    </row>
    <row r="121" spans="1:12" ht="15.75" thickBot="1">
      <c r="A121" s="8">
        <v>39</v>
      </c>
      <c r="B121" s="8" t="s">
        <v>32</v>
      </c>
      <c r="C121" s="8" t="s">
        <v>12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I121" s="28">
        <v>0</v>
      </c>
      <c r="J121" s="34">
        <v>0</v>
      </c>
      <c r="K121" s="8"/>
      <c r="L121" s="8"/>
    </row>
    <row r="122" spans="1:12">
      <c r="A122" s="8"/>
      <c r="B122" s="8"/>
      <c r="C122" s="8"/>
      <c r="D122" s="8"/>
      <c r="E122" s="8"/>
      <c r="F122" s="15"/>
      <c r="G122" s="15"/>
      <c r="H122" s="15"/>
      <c r="I122" s="15"/>
      <c r="J122" s="20"/>
      <c r="K122" s="8"/>
      <c r="L122" s="8"/>
    </row>
    <row r="123" spans="1:12" ht="15.75" thickBot="1">
      <c r="A123" s="8"/>
      <c r="B123" s="8"/>
      <c r="C123" s="8" t="s">
        <v>10</v>
      </c>
      <c r="D123" s="32"/>
      <c r="E123" s="32"/>
      <c r="F123" s="30"/>
      <c r="G123" s="30"/>
      <c r="H123" s="30"/>
      <c r="I123" s="30"/>
      <c r="J123" s="31"/>
      <c r="K123" s="8"/>
      <c r="L123" s="8"/>
    </row>
    <row r="124" spans="1:12" ht="15.75" thickTop="1">
      <c r="A124" s="8"/>
      <c r="B124" s="8"/>
      <c r="C124" s="8"/>
      <c r="D124" s="8"/>
      <c r="E124" s="8"/>
      <c r="F124" s="15"/>
      <c r="G124" s="15"/>
      <c r="H124" s="15"/>
      <c r="I124" s="15"/>
      <c r="J124" s="20"/>
      <c r="K124" s="8"/>
      <c r="L124" s="8"/>
    </row>
    <row r="125" spans="1:12">
      <c r="A125" s="8"/>
      <c r="B125" s="8"/>
      <c r="C125" s="8"/>
      <c r="D125" s="8"/>
      <c r="E125" s="8"/>
      <c r="F125" s="15"/>
      <c r="G125" s="15"/>
      <c r="H125" s="15"/>
      <c r="I125" s="15"/>
      <c r="J125" s="20"/>
      <c r="K125" s="8"/>
      <c r="L125" s="8"/>
    </row>
    <row r="126" spans="1:12" ht="15.75" thickBot="1">
      <c r="A126" s="8">
        <v>40</v>
      </c>
      <c r="B126" s="8" t="s">
        <v>33</v>
      </c>
      <c r="C126" s="8" t="s">
        <v>12</v>
      </c>
      <c r="D126" s="27">
        <v>7693.68</v>
      </c>
      <c r="E126" s="27">
        <v>657.39</v>
      </c>
      <c r="F126" s="28">
        <v>255.95</v>
      </c>
      <c r="G126" s="28">
        <v>244.46</v>
      </c>
      <c r="H126" s="28">
        <v>141.74</v>
      </c>
      <c r="I126" s="28">
        <v>2.4700000000000002</v>
      </c>
      <c r="J126" s="29">
        <f>SUM(D126:I126)</f>
        <v>8995.6899999999987</v>
      </c>
      <c r="K126" s="8"/>
      <c r="L126" s="8"/>
    </row>
    <row r="127" spans="1:12">
      <c r="A127" s="8"/>
      <c r="B127" s="8"/>
      <c r="C127" s="8"/>
      <c r="D127" s="8"/>
      <c r="E127" s="8"/>
      <c r="F127" s="24"/>
      <c r="G127" s="24"/>
      <c r="H127" s="24"/>
      <c r="I127" s="24"/>
      <c r="J127" s="25"/>
      <c r="K127" s="8"/>
      <c r="L127" s="8"/>
    </row>
    <row r="128" spans="1:12" ht="15.75" thickBot="1">
      <c r="A128" s="8"/>
      <c r="B128" s="8"/>
      <c r="C128" s="8" t="s">
        <v>10</v>
      </c>
      <c r="D128" s="30">
        <f t="shared" ref="D128:I128" si="18">SUM(D126:D127)</f>
        <v>7693.68</v>
      </c>
      <c r="E128" s="30">
        <f t="shared" si="18"/>
        <v>657.39</v>
      </c>
      <c r="F128" s="30">
        <f t="shared" si="18"/>
        <v>255.95</v>
      </c>
      <c r="G128" s="30">
        <f t="shared" si="18"/>
        <v>244.46</v>
      </c>
      <c r="H128" s="30">
        <f t="shared" si="18"/>
        <v>141.74</v>
      </c>
      <c r="I128" s="30">
        <f t="shared" si="18"/>
        <v>2.4700000000000002</v>
      </c>
      <c r="J128" s="31">
        <f>SUM(D128:I128)</f>
        <v>8995.6899999999987</v>
      </c>
      <c r="K128" s="8"/>
      <c r="L128" s="8"/>
    </row>
    <row r="129" spans="1:12" ht="15.75" thickTop="1">
      <c r="A129" s="8"/>
      <c r="B129" s="8"/>
      <c r="C129" s="8"/>
      <c r="D129" s="8"/>
      <c r="E129" s="8"/>
      <c r="F129" s="15"/>
      <c r="G129" s="15"/>
      <c r="H129" s="15"/>
      <c r="I129" s="15"/>
      <c r="J129" s="20"/>
      <c r="K129" s="8"/>
      <c r="L129" s="8"/>
    </row>
    <row r="130" spans="1:12">
      <c r="A130" s="8"/>
      <c r="B130" s="8"/>
      <c r="C130" s="8"/>
      <c r="D130" s="8"/>
      <c r="E130" s="8"/>
      <c r="F130" s="15"/>
      <c r="G130" s="15"/>
      <c r="H130" s="15"/>
      <c r="I130" s="15"/>
      <c r="J130" s="20"/>
      <c r="K130" s="8"/>
      <c r="L130" s="8"/>
    </row>
    <row r="131" spans="1:12">
      <c r="A131" s="8">
        <v>41</v>
      </c>
      <c r="B131" s="8" t="s">
        <v>34</v>
      </c>
      <c r="C131" s="8" t="s">
        <v>12</v>
      </c>
      <c r="D131" s="8">
        <v>6401.55</v>
      </c>
      <c r="E131" s="8">
        <v>307.2</v>
      </c>
      <c r="F131" s="15">
        <v>165.49</v>
      </c>
      <c r="G131" s="15">
        <v>58.23</v>
      </c>
      <c r="H131" s="15">
        <v>1.71</v>
      </c>
      <c r="I131" s="15">
        <v>0</v>
      </c>
      <c r="J131" s="20">
        <f>SUM(D131:I131)</f>
        <v>6934.1799999999994</v>
      </c>
      <c r="K131" s="8"/>
      <c r="L131" s="8"/>
    </row>
    <row r="132" spans="1:12" ht="15.75" thickBot="1">
      <c r="A132" s="8"/>
      <c r="B132" s="8"/>
      <c r="C132" s="8" t="s">
        <v>35</v>
      </c>
      <c r="D132" s="27">
        <v>306.48</v>
      </c>
      <c r="E132" s="27">
        <v>14.83</v>
      </c>
      <c r="F132" s="28">
        <v>7.95</v>
      </c>
      <c r="G132" s="28">
        <v>2.78</v>
      </c>
      <c r="H132" s="28">
        <v>0</v>
      </c>
      <c r="I132" s="28">
        <v>0</v>
      </c>
      <c r="J132" s="29">
        <f>SUM(D132:I132)</f>
        <v>332.03999999999996</v>
      </c>
      <c r="K132" s="8"/>
      <c r="L132" s="8"/>
    </row>
    <row r="133" spans="1:12">
      <c r="A133" s="8"/>
      <c r="B133" s="8"/>
      <c r="C133" s="8"/>
      <c r="D133" s="8"/>
      <c r="E133" s="8"/>
      <c r="F133" s="15"/>
      <c r="G133" s="15"/>
      <c r="H133" s="15"/>
      <c r="I133" s="15"/>
      <c r="J133" s="20"/>
      <c r="K133" s="8"/>
      <c r="L133" s="8"/>
    </row>
    <row r="134" spans="1:12" ht="15.75" thickBot="1">
      <c r="A134" s="8"/>
      <c r="B134" s="8"/>
      <c r="C134" s="8" t="s">
        <v>10</v>
      </c>
      <c r="D134" s="30">
        <f t="shared" ref="D134:I134" si="19">SUM(D131:D132)</f>
        <v>6708.0300000000007</v>
      </c>
      <c r="E134" s="30">
        <f t="shared" si="19"/>
        <v>322.02999999999997</v>
      </c>
      <c r="F134" s="30">
        <f t="shared" si="19"/>
        <v>173.44</v>
      </c>
      <c r="G134" s="30">
        <f t="shared" si="19"/>
        <v>61.01</v>
      </c>
      <c r="H134" s="30">
        <f t="shared" si="19"/>
        <v>1.71</v>
      </c>
      <c r="I134" s="30">
        <f t="shared" si="19"/>
        <v>0</v>
      </c>
      <c r="J134" s="31">
        <f>SUM(D134:I134)</f>
        <v>7266.22</v>
      </c>
      <c r="K134" s="8"/>
      <c r="L134" s="8"/>
    </row>
    <row r="135" spans="1:12" ht="15.75" thickTop="1">
      <c r="A135" s="8"/>
      <c r="B135" s="8"/>
      <c r="C135" s="8"/>
      <c r="D135" s="8"/>
      <c r="E135" s="8"/>
      <c r="F135" s="15"/>
      <c r="G135" s="15"/>
      <c r="H135" s="15"/>
      <c r="I135" s="15"/>
      <c r="J135" s="20"/>
      <c r="K135" s="8"/>
      <c r="L135" s="8"/>
    </row>
    <row r="136" spans="1:12">
      <c r="A136" s="8"/>
      <c r="B136" s="8"/>
      <c r="C136" s="8"/>
      <c r="D136" s="8"/>
      <c r="E136" s="8"/>
      <c r="F136" s="15"/>
      <c r="G136" s="15"/>
      <c r="H136" s="15"/>
      <c r="I136" s="15"/>
      <c r="J136" s="20"/>
      <c r="K136" s="8"/>
      <c r="L136" s="8"/>
    </row>
    <row r="137" spans="1:12">
      <c r="A137" s="8">
        <v>42</v>
      </c>
      <c r="B137" s="8" t="s">
        <v>36</v>
      </c>
      <c r="C137" s="8" t="s">
        <v>12</v>
      </c>
      <c r="D137" s="8">
        <v>8326.18</v>
      </c>
      <c r="E137" s="8">
        <v>120.52</v>
      </c>
      <c r="F137" s="15">
        <v>0</v>
      </c>
      <c r="G137" s="15">
        <v>0</v>
      </c>
      <c r="H137" s="15">
        <v>0</v>
      </c>
      <c r="I137" s="15">
        <v>0</v>
      </c>
      <c r="J137" s="20">
        <f>SUM(D137:I137)</f>
        <v>8446.7000000000007</v>
      </c>
      <c r="K137" s="8"/>
      <c r="L137" s="8"/>
    </row>
    <row r="138" spans="1:12" ht="15.75" thickBot="1">
      <c r="A138" s="8"/>
      <c r="B138" s="8"/>
      <c r="C138" s="8" t="s">
        <v>13</v>
      </c>
      <c r="D138" s="27">
        <v>542.58000000000004</v>
      </c>
      <c r="E138" s="27">
        <v>4.97</v>
      </c>
      <c r="F138" s="28">
        <v>0</v>
      </c>
      <c r="G138" s="28">
        <v>0</v>
      </c>
      <c r="H138" s="28">
        <v>0</v>
      </c>
      <c r="I138" s="28">
        <v>0</v>
      </c>
      <c r="J138" s="29">
        <f>SUM(D138:I138)</f>
        <v>547.55000000000007</v>
      </c>
      <c r="K138" s="8"/>
      <c r="L138" s="8"/>
    </row>
    <row r="139" spans="1:12">
      <c r="A139" s="8"/>
      <c r="B139" s="8"/>
      <c r="C139" s="8"/>
      <c r="D139" s="8"/>
      <c r="E139" s="8"/>
      <c r="F139" s="15"/>
      <c r="G139" s="15"/>
      <c r="H139" s="15"/>
      <c r="I139" s="15"/>
      <c r="J139" s="20"/>
      <c r="K139" s="8"/>
      <c r="L139" s="8"/>
    </row>
    <row r="140" spans="1:12" ht="15.75" thickBot="1">
      <c r="A140" s="8"/>
      <c r="B140" s="8"/>
      <c r="C140" s="8" t="s">
        <v>10</v>
      </c>
      <c r="D140" s="30">
        <f t="shared" ref="D140:I140" si="20">SUM(D137:D138)</f>
        <v>8868.76</v>
      </c>
      <c r="E140" s="30">
        <f t="shared" si="20"/>
        <v>125.49</v>
      </c>
      <c r="F140" s="30">
        <f t="shared" si="20"/>
        <v>0</v>
      </c>
      <c r="G140" s="30">
        <f t="shared" si="20"/>
        <v>0</v>
      </c>
      <c r="H140" s="30">
        <f t="shared" si="20"/>
        <v>0</v>
      </c>
      <c r="I140" s="30">
        <f t="shared" si="20"/>
        <v>0</v>
      </c>
      <c r="J140" s="31">
        <f>SUM(D140:I140)</f>
        <v>8994.25</v>
      </c>
      <c r="K140" s="8"/>
      <c r="L140" s="8"/>
    </row>
    <row r="141" spans="1:12" ht="15.75" thickTop="1">
      <c r="A141" s="8"/>
      <c r="B141" s="8"/>
      <c r="C141" s="8"/>
      <c r="D141" s="8"/>
      <c r="E141" s="8"/>
      <c r="F141" s="15"/>
      <c r="G141" s="15"/>
      <c r="H141" s="15"/>
      <c r="I141" s="15"/>
      <c r="J141" s="20"/>
      <c r="K141" s="8"/>
      <c r="L141" s="8"/>
    </row>
    <row r="142" spans="1:12">
      <c r="A142" s="8"/>
      <c r="B142" s="8"/>
      <c r="C142" s="8"/>
      <c r="D142" s="8"/>
      <c r="E142" s="8"/>
      <c r="F142" s="15"/>
      <c r="G142" s="15"/>
      <c r="H142" s="15"/>
      <c r="I142" s="15"/>
      <c r="J142" s="20"/>
      <c r="K142" s="8"/>
      <c r="L142" s="8"/>
    </row>
    <row r="143" spans="1:12">
      <c r="A143" s="8">
        <v>43</v>
      </c>
      <c r="B143" s="8" t="s">
        <v>37</v>
      </c>
      <c r="C143" s="8" t="s">
        <v>12</v>
      </c>
      <c r="D143" s="8">
        <v>6559.93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20">
        <f>SUM(D143:I143)</f>
        <v>6559.93</v>
      </c>
      <c r="K143" s="8"/>
      <c r="L143" s="8"/>
    </row>
    <row r="144" spans="1:12">
      <c r="A144" s="8"/>
      <c r="B144" s="8"/>
      <c r="C144" s="8" t="s">
        <v>35</v>
      </c>
      <c r="D144" s="8">
        <v>364.64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20">
        <f>SUM(D144:I144)</f>
        <v>364.64</v>
      </c>
      <c r="K144" s="8"/>
      <c r="L144" s="8"/>
    </row>
    <row r="145" spans="1:12">
      <c r="A145" s="8"/>
      <c r="B145" s="8"/>
      <c r="C145" s="8" t="s">
        <v>13</v>
      </c>
      <c r="D145" s="8">
        <v>524.80999999999995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20">
        <f>SUM(D145:I145)</f>
        <v>524.80999999999995</v>
      </c>
      <c r="K145" s="8"/>
      <c r="L145" s="8"/>
    </row>
    <row r="146" spans="1:12" ht="15.75" thickBot="1">
      <c r="A146" s="8"/>
      <c r="B146" s="8"/>
      <c r="C146" s="8" t="s">
        <v>78</v>
      </c>
      <c r="D146" s="27">
        <v>1093.48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9">
        <f>SUM(D146:I146)</f>
        <v>1093.48</v>
      </c>
      <c r="K146" s="8"/>
      <c r="L146" s="8"/>
    </row>
    <row r="147" spans="1:12">
      <c r="A147" s="8"/>
      <c r="B147" s="8"/>
      <c r="C147" s="8"/>
      <c r="D147" s="8"/>
      <c r="E147" s="15"/>
      <c r="F147" s="15"/>
      <c r="G147" s="15"/>
      <c r="H147" s="15"/>
      <c r="I147" s="15"/>
      <c r="J147" s="20"/>
      <c r="K147" s="8"/>
      <c r="L147" s="8"/>
    </row>
    <row r="148" spans="1:12" ht="15.75" thickBot="1">
      <c r="A148" s="8"/>
      <c r="B148" s="8"/>
      <c r="C148" s="8" t="s">
        <v>10</v>
      </c>
      <c r="D148" s="30">
        <f t="shared" ref="D148:I148" si="21">SUM(D143:D146)</f>
        <v>8542.86</v>
      </c>
      <c r="E148" s="30">
        <f t="shared" si="21"/>
        <v>0</v>
      </c>
      <c r="F148" s="30">
        <f t="shared" si="21"/>
        <v>0</v>
      </c>
      <c r="G148" s="30">
        <f t="shared" si="21"/>
        <v>0</v>
      </c>
      <c r="H148" s="30">
        <f t="shared" si="21"/>
        <v>0</v>
      </c>
      <c r="I148" s="30">
        <f t="shared" si="21"/>
        <v>0</v>
      </c>
      <c r="J148" s="31">
        <f>SUM(D148:I148)</f>
        <v>8542.86</v>
      </c>
      <c r="K148" s="8"/>
      <c r="L148" s="8"/>
    </row>
    <row r="149" spans="1:12" ht="15.75" thickTop="1">
      <c r="A149" s="8"/>
      <c r="B149" s="8"/>
      <c r="C149" s="8"/>
      <c r="D149" s="8"/>
      <c r="E149" s="8"/>
      <c r="F149" s="15"/>
      <c r="G149" s="15"/>
      <c r="H149" s="15"/>
      <c r="I149" s="15"/>
      <c r="J149" s="20"/>
      <c r="K149" s="8"/>
      <c r="L149" s="8"/>
    </row>
    <row r="150" spans="1:12">
      <c r="A150" s="8"/>
      <c r="B150" s="8"/>
      <c r="C150" s="8"/>
      <c r="D150" s="8"/>
      <c r="E150" s="8"/>
      <c r="F150" s="15"/>
      <c r="G150" s="15"/>
      <c r="H150" s="15"/>
      <c r="I150" s="15"/>
      <c r="J150" s="20"/>
      <c r="K150" s="8"/>
      <c r="L150" s="8"/>
    </row>
    <row r="151" spans="1:12" ht="15.75" thickBot="1">
      <c r="A151" s="8">
        <v>44</v>
      </c>
      <c r="B151" s="8" t="s">
        <v>38</v>
      </c>
      <c r="C151" s="8" t="s">
        <v>12</v>
      </c>
      <c r="D151" s="27">
        <v>11015.44</v>
      </c>
      <c r="E151" s="27">
        <v>564.34</v>
      </c>
      <c r="F151" s="28">
        <v>167.25</v>
      </c>
      <c r="G151" s="28">
        <v>92.34</v>
      </c>
      <c r="H151" s="28">
        <v>84.81</v>
      </c>
      <c r="I151" s="28">
        <v>0</v>
      </c>
      <c r="J151" s="29">
        <f>SUM(D151:I151)</f>
        <v>11924.18</v>
      </c>
      <c r="K151" s="8"/>
      <c r="L151" s="8"/>
    </row>
    <row r="152" spans="1:12">
      <c r="A152" s="8"/>
      <c r="B152" s="8"/>
      <c r="C152" s="8"/>
      <c r="D152" s="8"/>
      <c r="E152" s="8"/>
      <c r="F152" s="24"/>
      <c r="G152" s="24"/>
      <c r="H152" s="24"/>
      <c r="I152" s="24"/>
      <c r="J152" s="25"/>
      <c r="K152" s="8"/>
      <c r="L152" s="8"/>
    </row>
    <row r="153" spans="1:12" ht="15.75" thickBot="1">
      <c r="A153" s="8"/>
      <c r="B153" s="8"/>
      <c r="C153" s="8" t="s">
        <v>10</v>
      </c>
      <c r="D153" s="30">
        <f t="shared" ref="D153:I153" si="22">SUM(D151:D152)</f>
        <v>11015.44</v>
      </c>
      <c r="E153" s="30">
        <f t="shared" si="22"/>
        <v>564.34</v>
      </c>
      <c r="F153" s="30">
        <f t="shared" si="22"/>
        <v>167.25</v>
      </c>
      <c r="G153" s="30">
        <f t="shared" si="22"/>
        <v>92.34</v>
      </c>
      <c r="H153" s="30">
        <f t="shared" si="22"/>
        <v>84.81</v>
      </c>
      <c r="I153" s="30">
        <f t="shared" si="22"/>
        <v>0</v>
      </c>
      <c r="J153" s="31">
        <f>SUM(D153:I153)</f>
        <v>11924.18</v>
      </c>
      <c r="K153" s="8"/>
      <c r="L153" s="8"/>
    </row>
    <row r="154" spans="1:12" ht="15.75" thickTop="1">
      <c r="A154" s="8"/>
      <c r="B154" s="8"/>
      <c r="C154" s="8"/>
      <c r="D154" s="8"/>
      <c r="E154" s="8"/>
      <c r="F154" s="15"/>
      <c r="G154" s="15" t="s">
        <v>70</v>
      </c>
      <c r="H154" s="15" t="s">
        <v>70</v>
      </c>
      <c r="I154" s="15" t="s">
        <v>70</v>
      </c>
      <c r="J154" s="20"/>
      <c r="K154" s="8"/>
      <c r="L154" s="8"/>
    </row>
    <row r="155" spans="1:12">
      <c r="A155" s="8"/>
      <c r="B155" s="8"/>
      <c r="C155" s="8"/>
      <c r="D155" s="8"/>
      <c r="E155" s="8"/>
      <c r="F155" s="15"/>
      <c r="G155" s="15"/>
      <c r="H155" s="15"/>
      <c r="I155" s="15"/>
      <c r="J155" s="20"/>
      <c r="K155" s="8"/>
      <c r="L155" s="8"/>
    </row>
    <row r="156" spans="1:12" ht="15.75" thickBot="1">
      <c r="A156" s="8">
        <v>45</v>
      </c>
      <c r="B156" s="8" t="s">
        <v>39</v>
      </c>
      <c r="C156" s="8" t="s">
        <v>12</v>
      </c>
      <c r="D156" s="27">
        <v>6001.7</v>
      </c>
      <c r="E156" s="27">
        <v>181.38</v>
      </c>
      <c r="F156" s="28">
        <v>138.55000000000001</v>
      </c>
      <c r="G156" s="28">
        <v>40.57</v>
      </c>
      <c r="H156" s="28">
        <v>28.04</v>
      </c>
      <c r="I156" s="28">
        <v>0</v>
      </c>
      <c r="J156" s="29">
        <f>SUM(D156:I156)</f>
        <v>6390.24</v>
      </c>
      <c r="K156" s="8"/>
      <c r="L156" s="8"/>
    </row>
    <row r="157" spans="1:12">
      <c r="A157" s="8"/>
      <c r="B157" s="8"/>
      <c r="C157" s="8"/>
      <c r="D157" s="8"/>
      <c r="E157" s="8"/>
      <c r="F157" s="24"/>
      <c r="G157" s="24"/>
      <c r="H157" s="24"/>
      <c r="I157" s="24"/>
      <c r="J157" s="25"/>
      <c r="K157" s="8"/>
      <c r="L157" s="8"/>
    </row>
    <row r="158" spans="1:12" ht="15.75" thickBot="1">
      <c r="A158" s="8"/>
      <c r="B158" s="8"/>
      <c r="C158" s="8" t="s">
        <v>10</v>
      </c>
      <c r="D158" s="30">
        <f t="shared" ref="D158:I158" si="23">SUM(D156:D157)</f>
        <v>6001.7</v>
      </c>
      <c r="E158" s="30">
        <f t="shared" si="23"/>
        <v>181.38</v>
      </c>
      <c r="F158" s="30">
        <f t="shared" si="23"/>
        <v>138.55000000000001</v>
      </c>
      <c r="G158" s="30">
        <f t="shared" si="23"/>
        <v>40.57</v>
      </c>
      <c r="H158" s="30">
        <f t="shared" si="23"/>
        <v>28.04</v>
      </c>
      <c r="I158" s="30">
        <f t="shared" si="23"/>
        <v>0</v>
      </c>
      <c r="J158" s="31">
        <f>SUM(D158:I158)</f>
        <v>6390.24</v>
      </c>
      <c r="K158" s="8"/>
      <c r="L158" s="8"/>
    </row>
    <row r="159" spans="1:12" ht="15.75" thickTop="1">
      <c r="A159" s="8"/>
      <c r="B159" s="8"/>
      <c r="C159" s="8"/>
      <c r="D159" s="8"/>
      <c r="E159" s="8"/>
      <c r="F159" s="15"/>
      <c r="G159" s="15"/>
      <c r="H159" s="15"/>
      <c r="I159" s="15"/>
      <c r="J159" s="20"/>
      <c r="K159" s="8"/>
      <c r="L159" s="8"/>
    </row>
    <row r="160" spans="1:12">
      <c r="A160" s="8"/>
      <c r="B160" s="8"/>
      <c r="C160" s="8"/>
      <c r="D160" s="8"/>
      <c r="E160" s="8"/>
      <c r="F160" s="15"/>
      <c r="G160" s="15"/>
      <c r="H160" s="15"/>
      <c r="I160" s="15"/>
      <c r="J160" s="20"/>
      <c r="K160" s="8"/>
      <c r="L160" s="8"/>
    </row>
    <row r="161" spans="1:12" ht="15.75" thickBot="1">
      <c r="A161" s="8">
        <v>46</v>
      </c>
      <c r="B161" s="8" t="s">
        <v>40</v>
      </c>
      <c r="C161" s="8" t="s">
        <v>12</v>
      </c>
      <c r="D161" s="27">
        <v>4656.05</v>
      </c>
      <c r="E161" s="27">
        <v>509.92</v>
      </c>
      <c r="F161" s="28">
        <v>216.48</v>
      </c>
      <c r="G161" s="28">
        <v>26.28</v>
      </c>
      <c r="H161" s="28">
        <v>0</v>
      </c>
      <c r="I161" s="28">
        <v>0</v>
      </c>
      <c r="J161" s="29">
        <f>SUM(D161:I161)</f>
        <v>5408.73</v>
      </c>
      <c r="K161" s="8"/>
      <c r="L161" s="8"/>
    </row>
    <row r="162" spans="1:12">
      <c r="A162" s="8"/>
      <c r="B162" s="8"/>
      <c r="C162" s="8"/>
      <c r="D162" s="8"/>
      <c r="E162" s="8"/>
      <c r="F162" s="24"/>
      <c r="G162" s="24"/>
      <c r="H162" s="24"/>
      <c r="I162" s="24"/>
      <c r="J162" s="25"/>
      <c r="K162" s="8"/>
      <c r="L162" s="8"/>
    </row>
    <row r="163" spans="1:12" ht="15.75" thickBot="1">
      <c r="A163" s="8"/>
      <c r="B163" s="8"/>
      <c r="C163" s="8" t="s">
        <v>10</v>
      </c>
      <c r="D163" s="30">
        <f t="shared" ref="D163:I163" si="24">SUM(D161:D162)</f>
        <v>4656.05</v>
      </c>
      <c r="E163" s="30">
        <f t="shared" si="24"/>
        <v>509.92</v>
      </c>
      <c r="F163" s="30">
        <f t="shared" si="24"/>
        <v>216.48</v>
      </c>
      <c r="G163" s="30">
        <f t="shared" si="24"/>
        <v>26.28</v>
      </c>
      <c r="H163" s="30">
        <f t="shared" si="24"/>
        <v>0</v>
      </c>
      <c r="I163" s="30">
        <f t="shared" si="24"/>
        <v>0</v>
      </c>
      <c r="J163" s="31">
        <f>SUM(D163:I163)</f>
        <v>5408.73</v>
      </c>
      <c r="K163" s="8"/>
      <c r="L163" s="8"/>
    </row>
    <row r="164" spans="1:12" ht="15.75" thickTop="1">
      <c r="A164" s="8"/>
      <c r="B164" s="8"/>
      <c r="C164" s="8"/>
      <c r="D164" s="8"/>
      <c r="E164" s="8"/>
      <c r="F164" s="15"/>
      <c r="G164" s="15"/>
      <c r="H164" s="15"/>
      <c r="I164" s="15"/>
      <c r="J164" s="20"/>
      <c r="K164" s="8"/>
      <c r="L164" s="8"/>
    </row>
    <row r="165" spans="1:12">
      <c r="A165" s="8"/>
      <c r="B165" s="8"/>
      <c r="C165" s="8"/>
      <c r="D165" s="8"/>
      <c r="E165" s="8"/>
      <c r="F165" s="15"/>
      <c r="G165" s="15"/>
      <c r="H165" s="15"/>
      <c r="I165" s="15"/>
      <c r="J165" s="20"/>
      <c r="K165" s="8"/>
      <c r="L165" s="8"/>
    </row>
    <row r="166" spans="1:12" ht="15.75" thickBot="1">
      <c r="A166" s="8">
        <v>47</v>
      </c>
      <c r="B166" s="8" t="s">
        <v>41</v>
      </c>
      <c r="C166" s="8" t="s">
        <v>12</v>
      </c>
      <c r="D166" s="27">
        <v>4879.05</v>
      </c>
      <c r="E166" s="27">
        <v>738.25</v>
      </c>
      <c r="F166" s="28">
        <v>398.83</v>
      </c>
      <c r="G166" s="28">
        <v>494.45</v>
      </c>
      <c r="H166" s="28">
        <v>425.16</v>
      </c>
      <c r="I166" s="28">
        <v>0</v>
      </c>
      <c r="J166" s="29">
        <f>SUM(D166:I166)</f>
        <v>6935.74</v>
      </c>
      <c r="K166" s="8"/>
      <c r="L166" s="8"/>
    </row>
    <row r="167" spans="1:12">
      <c r="A167" s="8"/>
      <c r="B167" s="8"/>
      <c r="C167" s="8"/>
      <c r="D167" s="8"/>
      <c r="E167" s="8"/>
      <c r="F167" s="24"/>
      <c r="G167" s="24"/>
      <c r="H167" s="24"/>
      <c r="I167" s="24"/>
      <c r="J167" s="25"/>
      <c r="K167" s="8"/>
      <c r="L167" s="8"/>
    </row>
    <row r="168" spans="1:12" ht="15.75" thickBot="1">
      <c r="A168" s="8"/>
      <c r="B168" s="8"/>
      <c r="C168" s="8" t="s">
        <v>10</v>
      </c>
      <c r="D168" s="30">
        <f t="shared" ref="D168:I168" si="25">SUM(D166:D167)</f>
        <v>4879.05</v>
      </c>
      <c r="E168" s="30">
        <f t="shared" si="25"/>
        <v>738.25</v>
      </c>
      <c r="F168" s="30">
        <f t="shared" si="25"/>
        <v>398.83</v>
      </c>
      <c r="G168" s="30">
        <f t="shared" si="25"/>
        <v>494.45</v>
      </c>
      <c r="H168" s="30">
        <f t="shared" si="25"/>
        <v>425.16</v>
      </c>
      <c r="I168" s="30">
        <f t="shared" si="25"/>
        <v>0</v>
      </c>
      <c r="J168" s="31">
        <f>SUM(D168:I168)</f>
        <v>6935.74</v>
      </c>
      <c r="K168" s="8"/>
      <c r="L168" s="8"/>
    </row>
    <row r="169" spans="1:12" ht="15.75" thickTop="1">
      <c r="A169" s="8"/>
      <c r="B169" s="8"/>
      <c r="C169" s="8"/>
      <c r="D169" s="8"/>
      <c r="E169" s="8"/>
      <c r="F169" s="15"/>
      <c r="G169" s="15"/>
      <c r="H169" s="15"/>
      <c r="I169" s="15"/>
      <c r="J169" s="20"/>
      <c r="K169" s="8"/>
      <c r="L169" s="8"/>
    </row>
    <row r="170" spans="1:12">
      <c r="A170" s="8"/>
      <c r="B170" s="8"/>
      <c r="C170" s="8"/>
      <c r="D170" s="8"/>
      <c r="E170" s="8"/>
      <c r="F170" s="15"/>
      <c r="G170" s="15"/>
      <c r="H170" s="15"/>
      <c r="I170" s="15"/>
      <c r="J170" s="20"/>
      <c r="K170" s="8"/>
      <c r="L170" s="8"/>
    </row>
    <row r="171" spans="1:12" ht="15.75" thickBot="1">
      <c r="A171" s="8">
        <v>48</v>
      </c>
      <c r="B171" s="8" t="s">
        <v>42</v>
      </c>
      <c r="C171" s="8" t="s">
        <v>12</v>
      </c>
      <c r="D171" s="27">
        <v>10386.26</v>
      </c>
      <c r="E171" s="27">
        <v>443.83</v>
      </c>
      <c r="F171" s="28">
        <v>85.98</v>
      </c>
      <c r="G171" s="28">
        <v>94.8</v>
      </c>
      <c r="H171" s="28">
        <v>95.77</v>
      </c>
      <c r="I171" s="28">
        <v>0</v>
      </c>
      <c r="J171" s="29">
        <f>SUM(D171:I171)</f>
        <v>11106.64</v>
      </c>
      <c r="K171" s="8"/>
      <c r="L171" s="8"/>
    </row>
    <row r="172" spans="1:12">
      <c r="A172" s="8"/>
      <c r="B172" s="8"/>
      <c r="C172" s="8"/>
      <c r="D172" s="8"/>
      <c r="E172" s="8"/>
      <c r="F172" s="15"/>
      <c r="G172" s="15"/>
      <c r="H172" s="15"/>
      <c r="I172" s="15"/>
      <c r="J172" s="20"/>
      <c r="K172" s="8"/>
      <c r="L172" s="8"/>
    </row>
    <row r="173" spans="1:12" ht="15.75" thickBot="1">
      <c r="A173" s="8"/>
      <c r="B173" s="8"/>
      <c r="C173" s="8" t="s">
        <v>10</v>
      </c>
      <c r="D173" s="30">
        <f t="shared" ref="D173:I173" si="26">SUM(D171:D172)</f>
        <v>10386.26</v>
      </c>
      <c r="E173" s="30">
        <f t="shared" si="26"/>
        <v>443.83</v>
      </c>
      <c r="F173" s="30">
        <f t="shared" si="26"/>
        <v>85.98</v>
      </c>
      <c r="G173" s="30">
        <f t="shared" si="26"/>
        <v>94.8</v>
      </c>
      <c r="H173" s="30">
        <f t="shared" si="26"/>
        <v>95.77</v>
      </c>
      <c r="I173" s="30">
        <f t="shared" si="26"/>
        <v>0</v>
      </c>
      <c r="J173" s="31">
        <f>SUM(D173:I173)</f>
        <v>11106.64</v>
      </c>
      <c r="K173" s="8"/>
      <c r="L173" s="8"/>
    </row>
    <row r="174" spans="1:12" ht="15.75" thickTop="1">
      <c r="A174" s="8"/>
      <c r="B174" s="8"/>
      <c r="C174" s="8"/>
      <c r="D174" s="8"/>
      <c r="E174" s="8"/>
      <c r="F174" s="15"/>
      <c r="G174" s="15"/>
      <c r="H174" s="15"/>
      <c r="I174" s="15"/>
      <c r="J174" s="20"/>
      <c r="K174" s="8"/>
      <c r="L174" s="8"/>
    </row>
    <row r="175" spans="1:12">
      <c r="A175" s="8"/>
      <c r="B175" s="8"/>
      <c r="C175" s="8"/>
      <c r="D175" s="8"/>
      <c r="E175" s="8"/>
      <c r="F175" s="15"/>
      <c r="G175" s="15"/>
      <c r="H175" s="15"/>
      <c r="I175" s="15"/>
      <c r="J175" s="20"/>
      <c r="K175" s="8"/>
      <c r="L175" s="8"/>
    </row>
    <row r="176" spans="1:12" ht="15.75" thickBot="1">
      <c r="A176" s="8">
        <v>49</v>
      </c>
      <c r="B176" s="8" t="s">
        <v>43</v>
      </c>
      <c r="C176" s="8" t="s">
        <v>12</v>
      </c>
      <c r="D176" s="27">
        <v>14034.03</v>
      </c>
      <c r="E176" s="27">
        <v>774.83</v>
      </c>
      <c r="F176" s="28">
        <v>97.47</v>
      </c>
      <c r="G176" s="28">
        <v>66.349999999999994</v>
      </c>
      <c r="H176" s="28">
        <v>35.47</v>
      </c>
      <c r="I176" s="28">
        <v>0</v>
      </c>
      <c r="J176" s="29">
        <f>SUM(D176:I176)</f>
        <v>15008.15</v>
      </c>
      <c r="K176" s="8"/>
      <c r="L176" s="8"/>
    </row>
    <row r="177" spans="1:12">
      <c r="A177" s="8"/>
      <c r="B177" s="8"/>
      <c r="C177" s="8"/>
      <c r="D177" s="8"/>
      <c r="E177" s="8"/>
      <c r="F177" s="24"/>
      <c r="G177" s="24"/>
      <c r="H177" s="24"/>
      <c r="I177" s="24"/>
      <c r="J177" s="25"/>
      <c r="K177" s="8"/>
      <c r="L177" s="8"/>
    </row>
    <row r="178" spans="1:12" ht="15.75" thickBot="1">
      <c r="A178" s="8"/>
      <c r="B178" s="8"/>
      <c r="C178" s="8" t="s">
        <v>10</v>
      </c>
      <c r="D178" s="30">
        <f t="shared" ref="D178:I178" si="27">SUM(D176:D177)</f>
        <v>14034.03</v>
      </c>
      <c r="E178" s="30">
        <f t="shared" si="27"/>
        <v>774.83</v>
      </c>
      <c r="F178" s="30">
        <f t="shared" si="27"/>
        <v>97.47</v>
      </c>
      <c r="G178" s="30">
        <f t="shared" si="27"/>
        <v>66.349999999999994</v>
      </c>
      <c r="H178" s="30">
        <f t="shared" si="27"/>
        <v>35.47</v>
      </c>
      <c r="I178" s="30">
        <f t="shared" si="27"/>
        <v>0</v>
      </c>
      <c r="J178" s="31">
        <f>SUM(D178:I178)</f>
        <v>15008.15</v>
      </c>
      <c r="K178" s="8"/>
      <c r="L178" s="8"/>
    </row>
    <row r="179" spans="1:12" ht="15.75" thickTop="1">
      <c r="A179" s="8"/>
      <c r="B179" s="8"/>
      <c r="C179" s="8"/>
      <c r="D179" s="8"/>
      <c r="E179" s="8"/>
      <c r="F179" s="15"/>
      <c r="G179" s="15"/>
      <c r="H179" s="15"/>
      <c r="I179" s="15"/>
      <c r="J179" s="20"/>
      <c r="K179" s="8"/>
      <c r="L179" s="8"/>
    </row>
    <row r="180" spans="1:12">
      <c r="A180" s="8"/>
      <c r="B180" s="8"/>
      <c r="C180" s="8"/>
      <c r="D180" s="8"/>
      <c r="E180" s="8"/>
      <c r="F180" s="15"/>
      <c r="G180" s="15"/>
      <c r="H180" s="15"/>
      <c r="I180" s="15"/>
      <c r="J180" s="20"/>
      <c r="K180" s="8"/>
      <c r="L180" s="8"/>
    </row>
    <row r="181" spans="1:12">
      <c r="A181" s="8">
        <v>50</v>
      </c>
      <c r="B181" s="8" t="s">
        <v>44</v>
      </c>
      <c r="C181" s="8" t="s">
        <v>12</v>
      </c>
      <c r="D181" s="8">
        <v>3335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20">
        <f>SUM(D181:I181)</f>
        <v>3335</v>
      </c>
      <c r="K181" s="8"/>
      <c r="L181" s="8"/>
    </row>
    <row r="182" spans="1:12" ht="15.75" thickBot="1">
      <c r="A182" s="8"/>
      <c r="B182" s="8"/>
      <c r="C182" s="8" t="s">
        <v>13</v>
      </c>
      <c r="D182" s="33">
        <v>82.67</v>
      </c>
      <c r="E182" s="28">
        <v>0</v>
      </c>
      <c r="F182" s="28">
        <v>0</v>
      </c>
      <c r="G182" s="28">
        <v>0</v>
      </c>
      <c r="H182" s="28">
        <v>0</v>
      </c>
      <c r="I182" s="28">
        <v>0</v>
      </c>
      <c r="J182" s="29">
        <f>SUM(D182:I182)</f>
        <v>82.67</v>
      </c>
      <c r="K182" s="8"/>
      <c r="L182" s="8"/>
    </row>
    <row r="183" spans="1:12">
      <c r="A183" s="8"/>
      <c r="B183" s="8"/>
      <c r="C183" s="8"/>
      <c r="D183" s="8"/>
      <c r="E183" s="8"/>
      <c r="F183" s="15"/>
      <c r="G183" s="15"/>
      <c r="H183" s="15"/>
      <c r="I183" s="15"/>
      <c r="J183" s="20"/>
      <c r="K183" s="8"/>
      <c r="L183" s="8"/>
    </row>
    <row r="184" spans="1:12" ht="15.75" thickBot="1">
      <c r="A184" s="8"/>
      <c r="B184" s="8"/>
      <c r="C184" s="8" t="s">
        <v>10</v>
      </c>
      <c r="D184" s="30">
        <f t="shared" ref="D184:I184" si="28">SUM(D181:D182)</f>
        <v>3417.67</v>
      </c>
      <c r="E184" s="30">
        <f t="shared" si="28"/>
        <v>0</v>
      </c>
      <c r="F184" s="30">
        <f t="shared" si="28"/>
        <v>0</v>
      </c>
      <c r="G184" s="30">
        <f t="shared" si="28"/>
        <v>0</v>
      </c>
      <c r="H184" s="30">
        <f t="shared" si="28"/>
        <v>0</v>
      </c>
      <c r="I184" s="30">
        <f t="shared" si="28"/>
        <v>0</v>
      </c>
      <c r="J184" s="31">
        <f>SUM(D184:I184)</f>
        <v>3417.67</v>
      </c>
      <c r="K184" s="8"/>
      <c r="L184" s="8"/>
    </row>
    <row r="185" spans="1:12" ht="15.75" thickTop="1">
      <c r="A185" s="8"/>
      <c r="B185" s="8"/>
      <c r="C185" s="8"/>
      <c r="D185" s="8"/>
      <c r="E185" s="8"/>
      <c r="F185" s="15"/>
      <c r="G185" s="15"/>
      <c r="H185" s="15"/>
      <c r="I185" s="15"/>
      <c r="J185" s="20"/>
      <c r="K185" s="8"/>
      <c r="L185" s="8"/>
    </row>
    <row r="186" spans="1:12">
      <c r="A186" s="8"/>
      <c r="B186" s="8"/>
      <c r="C186" s="8"/>
      <c r="D186" s="8"/>
      <c r="E186" s="8"/>
      <c r="F186" s="15"/>
      <c r="G186" s="15"/>
      <c r="H186" s="15"/>
      <c r="I186" s="15"/>
      <c r="J186" s="20"/>
      <c r="K186" s="8"/>
      <c r="L186" s="8"/>
    </row>
    <row r="187" spans="1:12">
      <c r="A187" s="8">
        <v>51</v>
      </c>
      <c r="B187" s="8" t="s">
        <v>45</v>
      </c>
      <c r="C187" s="8" t="s">
        <v>12</v>
      </c>
      <c r="D187" s="8">
        <v>12324.42</v>
      </c>
      <c r="E187" s="8">
        <v>647.63</v>
      </c>
      <c r="F187" s="15">
        <v>567.85</v>
      </c>
      <c r="G187" s="15">
        <v>307.81</v>
      </c>
      <c r="H187" s="15">
        <v>277.54000000000002</v>
      </c>
      <c r="I187" s="15">
        <v>0</v>
      </c>
      <c r="J187" s="20">
        <f>SUM(D187:I187)</f>
        <v>14125.25</v>
      </c>
      <c r="K187" s="8"/>
      <c r="L187" s="8"/>
    </row>
    <row r="188" spans="1:12">
      <c r="A188" s="8"/>
      <c r="B188" s="8"/>
      <c r="C188" s="8" t="s">
        <v>13</v>
      </c>
      <c r="D188" s="26">
        <v>0</v>
      </c>
      <c r="E188" s="26">
        <v>0</v>
      </c>
      <c r="F188" s="15">
        <v>0</v>
      </c>
      <c r="G188" s="15">
        <v>0</v>
      </c>
      <c r="H188" s="15">
        <v>0</v>
      </c>
      <c r="I188" s="15">
        <v>0</v>
      </c>
      <c r="J188" s="20">
        <f>SUM(D188:I188)</f>
        <v>0</v>
      </c>
      <c r="K188" s="8"/>
      <c r="L188" s="8"/>
    </row>
    <row r="189" spans="1:12" ht="15.75" thickBot="1">
      <c r="A189" s="8"/>
      <c r="B189" s="8"/>
      <c r="C189" s="8" t="s">
        <v>46</v>
      </c>
      <c r="D189" s="27">
        <v>251.86</v>
      </c>
      <c r="E189" s="27">
        <v>13.36</v>
      </c>
      <c r="F189" s="28">
        <v>11.53</v>
      </c>
      <c r="G189" s="28">
        <v>6.48</v>
      </c>
      <c r="H189" s="28">
        <v>5.76</v>
      </c>
      <c r="I189" s="28">
        <v>0</v>
      </c>
      <c r="J189" s="29">
        <f>SUM(D189:I189)</f>
        <v>288.99</v>
      </c>
      <c r="K189" s="8"/>
      <c r="L189" s="8"/>
    </row>
    <row r="190" spans="1:12">
      <c r="A190" s="8"/>
      <c r="B190" s="8"/>
      <c r="C190" s="8"/>
      <c r="D190" s="8"/>
      <c r="E190" s="8"/>
      <c r="F190" s="15"/>
      <c r="G190" s="15"/>
      <c r="H190" s="15"/>
      <c r="I190" s="15"/>
      <c r="J190" s="20"/>
      <c r="K190" s="8"/>
      <c r="L190" s="8"/>
    </row>
    <row r="191" spans="1:12" ht="15.75" thickBot="1">
      <c r="A191" s="8"/>
      <c r="B191" s="8"/>
      <c r="C191" s="8" t="s">
        <v>10</v>
      </c>
      <c r="D191" s="30">
        <f t="shared" ref="D191:I191" si="29">SUM(D187:D189)</f>
        <v>12576.28</v>
      </c>
      <c r="E191" s="30">
        <f t="shared" si="29"/>
        <v>660.99</v>
      </c>
      <c r="F191" s="30">
        <f t="shared" si="29"/>
        <v>579.38</v>
      </c>
      <c r="G191" s="30">
        <f t="shared" si="29"/>
        <v>314.29000000000002</v>
      </c>
      <c r="H191" s="30">
        <f t="shared" si="29"/>
        <v>283.3</v>
      </c>
      <c r="I191" s="30">
        <f t="shared" si="29"/>
        <v>0</v>
      </c>
      <c r="J191" s="31">
        <f>SUM(D191:I191)</f>
        <v>14414.24</v>
      </c>
      <c r="K191" s="8"/>
      <c r="L191" s="8"/>
    </row>
    <row r="192" spans="1:12" ht="15.75" thickTop="1">
      <c r="A192" s="8"/>
      <c r="B192" s="8"/>
      <c r="C192" s="8"/>
      <c r="D192" s="8"/>
      <c r="E192" s="8"/>
      <c r="F192" s="15"/>
      <c r="G192" s="15"/>
      <c r="H192" s="15"/>
      <c r="I192" s="15"/>
      <c r="J192" s="20"/>
      <c r="K192" s="8"/>
      <c r="L192" s="8"/>
    </row>
    <row r="193" spans="1:12">
      <c r="A193" s="8"/>
      <c r="B193" s="8"/>
      <c r="C193" s="8"/>
      <c r="D193" s="8"/>
      <c r="E193" s="8"/>
      <c r="F193" s="15"/>
      <c r="G193" s="15"/>
      <c r="H193" s="15"/>
      <c r="I193" s="15"/>
      <c r="J193" s="20"/>
      <c r="K193" s="8"/>
      <c r="L193" s="8"/>
    </row>
    <row r="194" spans="1:12">
      <c r="A194" s="8">
        <v>52</v>
      </c>
      <c r="B194" s="8" t="s">
        <v>47</v>
      </c>
      <c r="C194" s="8" t="s">
        <v>12</v>
      </c>
      <c r="D194" s="26">
        <v>8608.93</v>
      </c>
      <c r="E194" s="26">
        <v>0</v>
      </c>
      <c r="F194" s="15">
        <v>0</v>
      </c>
      <c r="G194" s="15">
        <v>0</v>
      </c>
      <c r="H194" s="15">
        <v>0</v>
      </c>
      <c r="I194" s="15">
        <v>0</v>
      </c>
      <c r="J194" s="20">
        <f>SUM(D194:I194)</f>
        <v>8608.93</v>
      </c>
      <c r="K194" s="8"/>
      <c r="L194" s="8"/>
    </row>
    <row r="195" spans="1:12" ht="15.75" thickBot="1">
      <c r="A195" s="8"/>
      <c r="B195" s="8"/>
      <c r="C195" s="8" t="s">
        <v>13</v>
      </c>
      <c r="D195" s="33">
        <v>0</v>
      </c>
      <c r="E195" s="33">
        <v>0</v>
      </c>
      <c r="F195" s="28">
        <v>0</v>
      </c>
      <c r="G195" s="28">
        <v>0</v>
      </c>
      <c r="H195" s="28">
        <v>0</v>
      </c>
      <c r="I195" s="28">
        <v>0</v>
      </c>
      <c r="J195" s="34">
        <v>0</v>
      </c>
      <c r="K195" s="8"/>
      <c r="L195" s="8"/>
    </row>
    <row r="196" spans="1:12">
      <c r="A196" s="8"/>
      <c r="B196" s="8"/>
      <c r="C196" s="8"/>
      <c r="D196" s="8"/>
      <c r="E196" s="8"/>
      <c r="F196" s="15"/>
      <c r="G196" s="15"/>
      <c r="H196" s="15"/>
      <c r="I196" s="15"/>
      <c r="J196" s="20"/>
      <c r="K196" s="8"/>
      <c r="L196" s="8"/>
    </row>
    <row r="197" spans="1:12" ht="15.75" thickBot="1">
      <c r="A197" s="8"/>
      <c r="B197" s="8"/>
      <c r="C197" s="8" t="s">
        <v>10</v>
      </c>
      <c r="D197" s="30">
        <f t="shared" ref="D197:I197" si="30">SUM(D194:D195)</f>
        <v>8608.93</v>
      </c>
      <c r="E197" s="30">
        <f t="shared" si="30"/>
        <v>0</v>
      </c>
      <c r="F197" s="30">
        <f t="shared" si="30"/>
        <v>0</v>
      </c>
      <c r="G197" s="30">
        <f t="shared" si="30"/>
        <v>0</v>
      </c>
      <c r="H197" s="30">
        <f t="shared" si="30"/>
        <v>0</v>
      </c>
      <c r="I197" s="30">
        <f t="shared" si="30"/>
        <v>0</v>
      </c>
      <c r="J197" s="31">
        <f>SUM(D197:I197)</f>
        <v>8608.93</v>
      </c>
      <c r="K197" s="8"/>
      <c r="L197" s="8"/>
    </row>
    <row r="198" spans="1:12" ht="15.75" thickTop="1">
      <c r="A198" s="8"/>
      <c r="B198" s="8"/>
      <c r="C198" s="8"/>
      <c r="D198" s="8"/>
      <c r="E198" s="8"/>
      <c r="F198" s="15"/>
      <c r="G198" s="15"/>
      <c r="H198" s="15"/>
      <c r="I198" s="15"/>
      <c r="J198" s="20"/>
      <c r="K198" s="8"/>
      <c r="L198" s="8"/>
    </row>
    <row r="199" spans="1:12">
      <c r="A199" s="8"/>
      <c r="B199" s="8"/>
      <c r="C199" s="8"/>
      <c r="D199" s="8"/>
      <c r="E199" s="8"/>
      <c r="F199" s="15"/>
      <c r="G199" s="15"/>
      <c r="H199" s="15"/>
      <c r="I199" s="15"/>
      <c r="J199" s="20"/>
      <c r="K199" s="8"/>
      <c r="L199" s="8"/>
    </row>
    <row r="200" spans="1:12">
      <c r="A200" s="8">
        <v>53</v>
      </c>
      <c r="B200" s="8" t="s">
        <v>48</v>
      </c>
      <c r="C200" s="8" t="s">
        <v>12</v>
      </c>
      <c r="D200" s="8">
        <v>13375.33</v>
      </c>
      <c r="E200" s="8">
        <v>263.02</v>
      </c>
      <c r="F200" s="15">
        <v>105.83</v>
      </c>
      <c r="G200" s="15">
        <v>99.47</v>
      </c>
      <c r="H200" s="15">
        <v>90.25</v>
      </c>
      <c r="I200" s="15">
        <v>0</v>
      </c>
      <c r="J200" s="20">
        <f>SUM(D200:I200)</f>
        <v>13933.9</v>
      </c>
      <c r="K200" s="8"/>
      <c r="L200" s="8"/>
    </row>
    <row r="201" spans="1:12" ht="15.75" thickBot="1">
      <c r="A201" s="8"/>
      <c r="B201" s="8"/>
      <c r="C201" s="8" t="s">
        <v>35</v>
      </c>
      <c r="D201" s="27">
        <v>565.57000000000005</v>
      </c>
      <c r="E201" s="27">
        <v>11.55</v>
      </c>
      <c r="F201" s="28">
        <v>4.62</v>
      </c>
      <c r="G201" s="28">
        <v>4.07</v>
      </c>
      <c r="H201" s="28">
        <v>4.0199999999999996</v>
      </c>
      <c r="I201" s="28">
        <v>0</v>
      </c>
      <c r="J201" s="29">
        <f>SUM(D201:I201)</f>
        <v>589.83000000000004</v>
      </c>
      <c r="K201" s="8"/>
      <c r="L201" s="8"/>
    </row>
    <row r="202" spans="1:12">
      <c r="A202" s="8"/>
      <c r="B202" s="8"/>
      <c r="C202" s="8"/>
      <c r="D202" s="8"/>
      <c r="E202" s="8"/>
      <c r="F202" s="15"/>
      <c r="G202" s="15"/>
      <c r="H202" s="15"/>
      <c r="I202" s="15"/>
      <c r="J202" s="20"/>
      <c r="K202" s="8"/>
      <c r="L202" s="8"/>
    </row>
    <row r="203" spans="1:12" ht="15.75" thickBot="1">
      <c r="A203" s="8"/>
      <c r="B203" s="8"/>
      <c r="C203" s="8" t="s">
        <v>10</v>
      </c>
      <c r="D203" s="30">
        <f t="shared" ref="D203:I203" si="31">SUM(D200:D201)</f>
        <v>13940.9</v>
      </c>
      <c r="E203" s="30">
        <f t="shared" si="31"/>
        <v>274.57</v>
      </c>
      <c r="F203" s="30">
        <f t="shared" si="31"/>
        <v>110.45</v>
      </c>
      <c r="G203" s="30">
        <f t="shared" si="31"/>
        <v>103.53999999999999</v>
      </c>
      <c r="H203" s="30">
        <f t="shared" si="31"/>
        <v>94.27</v>
      </c>
      <c r="I203" s="30">
        <f t="shared" si="31"/>
        <v>0</v>
      </c>
      <c r="J203" s="31">
        <f>SUM(D203:I203)</f>
        <v>14523.730000000001</v>
      </c>
      <c r="K203" s="8"/>
      <c r="L203" s="8"/>
    </row>
    <row r="204" spans="1:12" ht="15.75" thickTop="1">
      <c r="A204" s="8"/>
      <c r="B204" s="8"/>
      <c r="C204" s="8"/>
      <c r="D204" s="8"/>
      <c r="E204" s="8"/>
      <c r="F204" s="15"/>
      <c r="G204" s="15"/>
      <c r="H204" s="15"/>
      <c r="I204" s="15"/>
      <c r="J204" s="20"/>
      <c r="K204" s="8"/>
      <c r="L204" s="8"/>
    </row>
    <row r="205" spans="1:12">
      <c r="A205" s="8"/>
      <c r="B205" s="8"/>
      <c r="C205" s="8"/>
      <c r="D205" s="8"/>
      <c r="E205" s="8"/>
      <c r="F205" s="15"/>
      <c r="G205" s="15"/>
      <c r="H205" s="15"/>
      <c r="I205" s="15"/>
      <c r="J205" s="20"/>
      <c r="K205" s="8"/>
      <c r="L205" s="8"/>
    </row>
    <row r="206" spans="1:12" ht="15.75" thickBot="1">
      <c r="A206" s="8">
        <v>54</v>
      </c>
      <c r="B206" s="8" t="s">
        <v>49</v>
      </c>
      <c r="C206" s="8" t="s">
        <v>12</v>
      </c>
      <c r="D206" s="27">
        <v>8732.5300000000007</v>
      </c>
      <c r="E206" s="27">
        <v>500.95</v>
      </c>
      <c r="F206" s="28">
        <v>0</v>
      </c>
      <c r="G206" s="28">
        <v>0</v>
      </c>
      <c r="H206" s="28">
        <v>0</v>
      </c>
      <c r="I206" s="28">
        <v>0</v>
      </c>
      <c r="J206" s="29">
        <f>SUM(D206:I206)</f>
        <v>9233.4800000000014</v>
      </c>
      <c r="K206" s="8"/>
      <c r="L206" s="8"/>
    </row>
    <row r="207" spans="1:12">
      <c r="A207" s="8"/>
      <c r="B207" s="8"/>
      <c r="C207" s="8"/>
      <c r="D207" s="8"/>
      <c r="E207" s="8"/>
      <c r="F207" s="24"/>
      <c r="G207" s="24"/>
      <c r="H207" s="24"/>
      <c r="I207" s="24"/>
      <c r="J207" s="25"/>
      <c r="K207" s="8"/>
      <c r="L207" s="8"/>
    </row>
    <row r="208" spans="1:12" ht="15.75" thickBot="1">
      <c r="A208" s="8"/>
      <c r="B208" s="8"/>
      <c r="C208" s="8" t="s">
        <v>10</v>
      </c>
      <c r="D208" s="30">
        <f t="shared" ref="D208:I208" si="32">SUM(D206:D207)</f>
        <v>8732.5300000000007</v>
      </c>
      <c r="E208" s="30">
        <f t="shared" si="32"/>
        <v>500.95</v>
      </c>
      <c r="F208" s="30">
        <f t="shared" si="32"/>
        <v>0</v>
      </c>
      <c r="G208" s="30">
        <f t="shared" si="32"/>
        <v>0</v>
      </c>
      <c r="H208" s="30">
        <f t="shared" si="32"/>
        <v>0</v>
      </c>
      <c r="I208" s="30">
        <f t="shared" si="32"/>
        <v>0</v>
      </c>
      <c r="J208" s="31">
        <f>SUM(D208:I208)</f>
        <v>9233.4800000000014</v>
      </c>
      <c r="K208" s="8"/>
      <c r="L208" s="8"/>
    </row>
    <row r="209" spans="1:12" ht="15.75" thickTop="1">
      <c r="A209" s="8"/>
      <c r="B209" s="8"/>
      <c r="C209" s="8"/>
      <c r="D209" s="8"/>
      <c r="E209" s="8"/>
      <c r="F209" s="15"/>
      <c r="G209" s="15"/>
      <c r="H209" s="15"/>
      <c r="I209" s="15"/>
      <c r="J209" s="20"/>
      <c r="K209" s="8"/>
      <c r="L209" s="8"/>
    </row>
    <row r="210" spans="1:12">
      <c r="A210" s="8"/>
      <c r="B210" s="8"/>
      <c r="C210" s="8"/>
      <c r="D210" s="8"/>
      <c r="E210" s="8"/>
      <c r="F210" s="15"/>
      <c r="G210" s="15"/>
      <c r="H210" s="15"/>
      <c r="I210" s="15"/>
      <c r="J210" s="20"/>
      <c r="K210" s="8"/>
      <c r="L210" s="8"/>
    </row>
    <row r="211" spans="1:12">
      <c r="A211" s="8">
        <v>55</v>
      </c>
      <c r="B211" s="8" t="s">
        <v>50</v>
      </c>
      <c r="C211" s="8" t="s">
        <v>12</v>
      </c>
      <c r="D211" s="8">
        <v>12068.61</v>
      </c>
      <c r="E211" s="8">
        <v>473.66</v>
      </c>
      <c r="F211" s="15">
        <v>277</v>
      </c>
      <c r="G211" s="15">
        <v>240.28</v>
      </c>
      <c r="H211" s="15">
        <v>25.08</v>
      </c>
      <c r="I211" s="15">
        <v>0</v>
      </c>
      <c r="J211" s="20">
        <f>SUM(D211:I211)</f>
        <v>13084.630000000001</v>
      </c>
      <c r="K211" s="8"/>
      <c r="L211" s="8"/>
    </row>
    <row r="212" spans="1:12" ht="15.75" thickBot="1">
      <c r="A212" s="8"/>
      <c r="B212" s="8"/>
      <c r="C212" s="8" t="s">
        <v>13</v>
      </c>
      <c r="D212" s="27">
        <v>402.41</v>
      </c>
      <c r="E212" s="27">
        <v>17.239999999999998</v>
      </c>
      <c r="F212" s="28">
        <v>10.58</v>
      </c>
      <c r="G212" s="28">
        <v>9.66</v>
      </c>
      <c r="H212" s="28">
        <v>0.31</v>
      </c>
      <c r="I212" s="28">
        <v>0</v>
      </c>
      <c r="J212" s="29">
        <f>SUM(D212:I212)</f>
        <v>440.20000000000005</v>
      </c>
      <c r="K212" s="8"/>
      <c r="L212" s="8"/>
    </row>
    <row r="213" spans="1:12">
      <c r="A213" s="8"/>
      <c r="B213" s="8"/>
      <c r="C213" s="8"/>
      <c r="D213" s="8"/>
      <c r="E213" s="8"/>
      <c r="F213" s="15"/>
      <c r="G213" s="15"/>
      <c r="H213" s="15"/>
      <c r="I213" s="15"/>
      <c r="J213" s="20"/>
      <c r="K213" s="8"/>
      <c r="L213" s="8"/>
    </row>
    <row r="214" spans="1:12" ht="15.75" thickBot="1">
      <c r="A214" s="8"/>
      <c r="B214" s="8"/>
      <c r="C214" s="8" t="s">
        <v>10</v>
      </c>
      <c r="D214" s="30">
        <f t="shared" ref="D214:I214" si="33">SUM(D211:D212)</f>
        <v>12471.02</v>
      </c>
      <c r="E214" s="30">
        <f t="shared" si="33"/>
        <v>490.90000000000003</v>
      </c>
      <c r="F214" s="30">
        <f t="shared" si="33"/>
        <v>287.58</v>
      </c>
      <c r="G214" s="30">
        <f t="shared" si="33"/>
        <v>249.94</v>
      </c>
      <c r="H214" s="30">
        <f t="shared" si="33"/>
        <v>25.389999999999997</v>
      </c>
      <c r="I214" s="30">
        <f t="shared" si="33"/>
        <v>0</v>
      </c>
      <c r="J214" s="31">
        <f>SUM(D214:I214)</f>
        <v>13524.83</v>
      </c>
      <c r="K214" s="8"/>
      <c r="L214" s="8"/>
    </row>
    <row r="215" spans="1:12" ht="15.75" thickTop="1">
      <c r="A215" s="8"/>
      <c r="B215" s="8"/>
      <c r="C215" s="8"/>
      <c r="D215" s="8"/>
      <c r="E215" s="8"/>
      <c r="F215" s="15"/>
      <c r="G215" s="15"/>
      <c r="H215" s="15"/>
      <c r="I215" s="15"/>
      <c r="J215" s="20"/>
      <c r="K215" s="8"/>
      <c r="L215" s="8"/>
    </row>
    <row r="216" spans="1:12">
      <c r="A216" s="8"/>
      <c r="B216" s="8"/>
      <c r="C216" s="8"/>
      <c r="D216" s="8"/>
      <c r="E216" s="8"/>
      <c r="F216" s="15"/>
      <c r="G216" s="15"/>
      <c r="H216" s="15"/>
      <c r="I216" s="15"/>
      <c r="J216" s="20"/>
      <c r="K216" s="8"/>
      <c r="L216" s="8"/>
    </row>
    <row r="217" spans="1:12">
      <c r="A217" s="8">
        <v>56</v>
      </c>
      <c r="B217" s="8" t="s">
        <v>51</v>
      </c>
      <c r="C217" s="8" t="s">
        <v>12</v>
      </c>
      <c r="D217" s="8">
        <v>7486.66</v>
      </c>
      <c r="E217" s="8">
        <v>148.15</v>
      </c>
      <c r="F217" s="15">
        <v>42.93</v>
      </c>
      <c r="G217" s="15">
        <v>0</v>
      </c>
      <c r="H217" s="15">
        <v>0</v>
      </c>
      <c r="I217" s="15">
        <v>0</v>
      </c>
      <c r="J217" s="20">
        <f>SUM(D217:I217)</f>
        <v>7677.74</v>
      </c>
      <c r="K217" s="8"/>
      <c r="L217" s="8"/>
    </row>
    <row r="218" spans="1:12" ht="15.75" thickBot="1">
      <c r="A218" s="8"/>
      <c r="B218" s="8"/>
      <c r="C218" s="8" t="s">
        <v>13</v>
      </c>
      <c r="D218" s="27">
        <v>151.55000000000001</v>
      </c>
      <c r="E218" s="27">
        <v>2.21</v>
      </c>
      <c r="F218" s="28">
        <v>0.66</v>
      </c>
      <c r="G218" s="28">
        <v>0</v>
      </c>
      <c r="H218" s="28">
        <v>0</v>
      </c>
      <c r="I218" s="28">
        <v>0</v>
      </c>
      <c r="J218" s="29">
        <f>SUM(D218:I218)</f>
        <v>154.42000000000002</v>
      </c>
      <c r="K218" s="8"/>
      <c r="L218" s="8"/>
    </row>
    <row r="219" spans="1:12">
      <c r="A219" s="8"/>
      <c r="B219" s="8"/>
      <c r="C219" s="8"/>
      <c r="D219" s="8"/>
      <c r="E219" s="8"/>
      <c r="F219" s="15"/>
      <c r="G219" s="15"/>
      <c r="H219" s="15"/>
      <c r="I219" s="15"/>
      <c r="J219" s="20"/>
      <c r="K219" s="8"/>
      <c r="L219" s="8"/>
    </row>
    <row r="220" spans="1:12" ht="15.75" thickBot="1">
      <c r="A220" s="8"/>
      <c r="B220" s="8"/>
      <c r="C220" s="8" t="s">
        <v>10</v>
      </c>
      <c r="D220" s="30">
        <f t="shared" ref="D220:I220" si="34">SUM(D217:D218)</f>
        <v>7638.21</v>
      </c>
      <c r="E220" s="30">
        <f t="shared" si="34"/>
        <v>150.36000000000001</v>
      </c>
      <c r="F220" s="30">
        <f t="shared" si="34"/>
        <v>43.589999999999996</v>
      </c>
      <c r="G220" s="30">
        <f t="shared" si="34"/>
        <v>0</v>
      </c>
      <c r="H220" s="30">
        <f t="shared" si="34"/>
        <v>0</v>
      </c>
      <c r="I220" s="30">
        <f t="shared" si="34"/>
        <v>0</v>
      </c>
      <c r="J220" s="31">
        <f>SUM(D220:I220)</f>
        <v>7832.16</v>
      </c>
      <c r="K220" s="8"/>
      <c r="L220" s="8"/>
    </row>
    <row r="221" spans="1:12" ht="15.75" thickTop="1">
      <c r="A221" s="8"/>
      <c r="B221" s="8"/>
      <c r="C221" s="8"/>
      <c r="D221" s="8"/>
      <c r="E221" s="8"/>
      <c r="F221" s="15"/>
      <c r="G221" s="15"/>
      <c r="H221" s="15"/>
      <c r="I221" s="15"/>
      <c r="J221" s="20"/>
      <c r="K221" s="8"/>
      <c r="L221" s="8"/>
    </row>
    <row r="222" spans="1:12">
      <c r="A222" s="8"/>
      <c r="B222" s="8"/>
      <c r="C222" s="8"/>
      <c r="D222" s="8"/>
      <c r="E222" s="8"/>
      <c r="F222" s="15"/>
      <c r="G222" s="15"/>
      <c r="H222" s="15"/>
      <c r="I222" s="15"/>
      <c r="J222" s="20"/>
      <c r="K222" s="8"/>
      <c r="L222" s="8"/>
    </row>
    <row r="223" spans="1:12">
      <c r="A223" s="8">
        <v>57</v>
      </c>
      <c r="B223" s="8" t="s">
        <v>52</v>
      </c>
      <c r="C223" s="8" t="s">
        <v>12</v>
      </c>
      <c r="D223" s="8">
        <v>22022.58</v>
      </c>
      <c r="E223" s="8">
        <v>558.04</v>
      </c>
      <c r="F223" s="15">
        <v>453.74</v>
      </c>
      <c r="G223" s="15">
        <v>12.32</v>
      </c>
      <c r="H223" s="15">
        <v>12.26</v>
      </c>
      <c r="I223" s="15">
        <v>0</v>
      </c>
      <c r="J223" s="20">
        <f>SUM(D223:I223)</f>
        <v>23058.940000000002</v>
      </c>
      <c r="K223" s="8"/>
      <c r="L223" s="8"/>
    </row>
    <row r="224" spans="1:12" ht="15.75" thickBot="1">
      <c r="A224" s="8"/>
      <c r="B224" s="8"/>
      <c r="C224" s="8" t="s">
        <v>13</v>
      </c>
      <c r="D224" s="27">
        <v>492.58</v>
      </c>
      <c r="E224" s="27">
        <v>17.86</v>
      </c>
      <c r="F224" s="28">
        <v>11.62</v>
      </c>
      <c r="G224" s="28">
        <v>0.34</v>
      </c>
      <c r="H224" s="28">
        <v>0.72</v>
      </c>
      <c r="I224" s="28">
        <v>0</v>
      </c>
      <c r="J224" s="29">
        <f>SUM(D224:I224)</f>
        <v>523.12</v>
      </c>
      <c r="K224" s="8"/>
      <c r="L224" s="8"/>
    </row>
    <row r="225" spans="1:12">
      <c r="A225" s="8"/>
      <c r="B225" s="8"/>
      <c r="C225" s="8"/>
      <c r="D225" s="8"/>
      <c r="E225" s="8"/>
      <c r="F225" s="15"/>
      <c r="G225" s="15"/>
      <c r="H225" s="15"/>
      <c r="I225" s="15"/>
      <c r="J225" s="20"/>
      <c r="K225" s="8"/>
      <c r="L225" s="8"/>
    </row>
    <row r="226" spans="1:12" ht="15.75" thickBot="1">
      <c r="A226" s="8"/>
      <c r="B226" s="8"/>
      <c r="C226" s="8" t="s">
        <v>10</v>
      </c>
      <c r="D226" s="30">
        <f t="shared" ref="D226:I226" si="35">SUM(D223:D224)</f>
        <v>22515.160000000003</v>
      </c>
      <c r="E226" s="30">
        <f t="shared" si="35"/>
        <v>575.9</v>
      </c>
      <c r="F226" s="30">
        <f t="shared" si="35"/>
        <v>465.36</v>
      </c>
      <c r="G226" s="30">
        <f t="shared" si="35"/>
        <v>12.66</v>
      </c>
      <c r="H226" s="30">
        <f t="shared" si="35"/>
        <v>12.98</v>
      </c>
      <c r="I226" s="30">
        <f t="shared" si="35"/>
        <v>0</v>
      </c>
      <c r="J226" s="31">
        <f>SUM(D226:I226)</f>
        <v>23582.060000000005</v>
      </c>
      <c r="K226" s="8"/>
      <c r="L226" s="8"/>
    </row>
    <row r="227" spans="1:12" ht="15.75" thickTop="1">
      <c r="A227" s="8"/>
      <c r="B227" s="8"/>
      <c r="C227" s="8"/>
      <c r="D227" s="8"/>
      <c r="E227" s="8"/>
      <c r="F227" s="15"/>
      <c r="G227" s="15"/>
      <c r="H227" s="15"/>
      <c r="I227" s="15"/>
      <c r="J227" s="20"/>
      <c r="K227" s="8"/>
      <c r="L227" s="8"/>
    </row>
    <row r="228" spans="1:12">
      <c r="A228" s="8"/>
      <c r="B228" s="8"/>
      <c r="C228" s="8"/>
      <c r="D228" s="8"/>
      <c r="E228" s="8"/>
      <c r="F228" s="15"/>
      <c r="G228" s="15"/>
      <c r="H228" s="15"/>
      <c r="I228" s="15"/>
      <c r="J228" s="20"/>
      <c r="K228" s="8"/>
      <c r="L228" s="8"/>
    </row>
    <row r="229" spans="1:12">
      <c r="A229" s="8">
        <v>58</v>
      </c>
      <c r="B229" s="8" t="s">
        <v>53</v>
      </c>
      <c r="C229" s="8" t="s">
        <v>12</v>
      </c>
      <c r="D229" s="8">
        <v>11340.5</v>
      </c>
      <c r="E229" s="8">
        <v>1041.5999999999999</v>
      </c>
      <c r="F229" s="15">
        <v>191.12</v>
      </c>
      <c r="G229" s="15">
        <v>0</v>
      </c>
      <c r="H229" s="15">
        <v>0</v>
      </c>
      <c r="I229" s="15">
        <v>0</v>
      </c>
      <c r="J229" s="20">
        <f>SUM(D229:I229)</f>
        <v>12573.220000000001</v>
      </c>
      <c r="K229" s="8"/>
      <c r="L229" s="8"/>
    </row>
    <row r="230" spans="1:12" ht="15.75" thickBot="1">
      <c r="A230" s="8"/>
      <c r="B230" s="8"/>
      <c r="C230" s="8" t="s">
        <v>13</v>
      </c>
      <c r="D230" s="33">
        <v>0</v>
      </c>
      <c r="E230" s="33">
        <v>0</v>
      </c>
      <c r="F230" s="28">
        <v>0</v>
      </c>
      <c r="G230" s="28">
        <v>0</v>
      </c>
      <c r="H230" s="28">
        <v>0</v>
      </c>
      <c r="I230" s="28">
        <v>0</v>
      </c>
      <c r="J230" s="34">
        <v>0</v>
      </c>
      <c r="K230" s="8"/>
      <c r="L230" s="8"/>
    </row>
    <row r="231" spans="1:12">
      <c r="A231" s="8"/>
      <c r="B231" s="8"/>
      <c r="C231" s="8"/>
      <c r="D231" s="8"/>
      <c r="E231" s="8"/>
      <c r="F231" s="15"/>
      <c r="G231" s="15"/>
      <c r="H231" s="15"/>
      <c r="I231" s="15"/>
      <c r="J231" s="20"/>
      <c r="K231" s="8"/>
      <c r="L231" s="8"/>
    </row>
    <row r="232" spans="1:12" ht="15.75" thickBot="1">
      <c r="A232" s="8"/>
      <c r="B232" s="8"/>
      <c r="C232" s="8" t="s">
        <v>10</v>
      </c>
      <c r="D232" s="30">
        <f t="shared" ref="D232:I232" si="36">SUM(D229:D230)</f>
        <v>11340.5</v>
      </c>
      <c r="E232" s="30">
        <f t="shared" si="36"/>
        <v>1041.5999999999999</v>
      </c>
      <c r="F232" s="30">
        <f t="shared" si="36"/>
        <v>191.12</v>
      </c>
      <c r="G232" s="30">
        <f t="shared" si="36"/>
        <v>0</v>
      </c>
      <c r="H232" s="30">
        <f t="shared" si="36"/>
        <v>0</v>
      </c>
      <c r="I232" s="30">
        <f t="shared" si="36"/>
        <v>0</v>
      </c>
      <c r="J232" s="31">
        <f>SUM(D232:I232)</f>
        <v>12573.220000000001</v>
      </c>
      <c r="K232" s="8"/>
      <c r="L232" s="8"/>
    </row>
    <row r="233" spans="1:12" ht="15.75" thickTop="1">
      <c r="A233" s="8"/>
      <c r="B233" s="8"/>
      <c r="C233" s="8"/>
      <c r="D233" s="8"/>
      <c r="E233" s="8"/>
      <c r="F233" s="15"/>
      <c r="G233" s="15"/>
      <c r="H233" s="15"/>
      <c r="I233" s="15"/>
      <c r="J233" s="20"/>
      <c r="K233" s="8"/>
      <c r="L233" s="8"/>
    </row>
    <row r="234" spans="1:12">
      <c r="A234" s="8"/>
      <c r="B234" s="8"/>
      <c r="C234" s="8"/>
      <c r="D234" s="8"/>
      <c r="E234" s="8"/>
      <c r="F234" s="15"/>
      <c r="G234" s="15"/>
      <c r="H234" s="15"/>
      <c r="I234" s="15"/>
      <c r="J234" s="20"/>
      <c r="K234" s="8"/>
      <c r="L234" s="8"/>
    </row>
    <row r="235" spans="1:12">
      <c r="A235" s="8">
        <v>59</v>
      </c>
      <c r="B235" s="8" t="s">
        <v>54</v>
      </c>
      <c r="C235" s="8" t="s">
        <v>12</v>
      </c>
      <c r="D235" s="8">
        <v>11742.25</v>
      </c>
      <c r="E235" s="8">
        <v>646.53</v>
      </c>
      <c r="F235" s="15">
        <v>86.45</v>
      </c>
      <c r="G235" s="15">
        <v>6.4</v>
      </c>
      <c r="H235" s="15">
        <v>1.01</v>
      </c>
      <c r="I235" s="15">
        <v>0</v>
      </c>
      <c r="J235" s="20">
        <f>SUM(D235:I235)</f>
        <v>12482.640000000001</v>
      </c>
      <c r="K235" s="8"/>
      <c r="L235" s="8"/>
    </row>
    <row r="236" spans="1:12" ht="15.75" thickBot="1">
      <c r="A236" s="8"/>
      <c r="B236" s="8"/>
      <c r="C236" s="8" t="s">
        <v>35</v>
      </c>
      <c r="D236" s="27">
        <v>632.58000000000004</v>
      </c>
      <c r="E236" s="27">
        <v>37.53</v>
      </c>
      <c r="F236" s="28">
        <v>0</v>
      </c>
      <c r="G236" s="28">
        <v>0.8</v>
      </c>
      <c r="H236" s="28">
        <v>0.53</v>
      </c>
      <c r="I236" s="28">
        <v>0</v>
      </c>
      <c r="J236" s="29">
        <f>SUM(D236:I236)</f>
        <v>671.43999999999994</v>
      </c>
      <c r="K236" s="8"/>
      <c r="L236" s="8"/>
    </row>
    <row r="237" spans="1:12">
      <c r="A237" s="8"/>
      <c r="B237" s="8"/>
      <c r="C237" s="8"/>
      <c r="D237" s="8"/>
      <c r="E237" s="8"/>
      <c r="F237" s="15"/>
      <c r="G237" s="15"/>
      <c r="H237" s="15"/>
      <c r="I237" s="15"/>
      <c r="J237" s="20"/>
      <c r="K237" s="8"/>
      <c r="L237" s="8"/>
    </row>
    <row r="238" spans="1:12" ht="15.75" thickBot="1">
      <c r="A238" s="8"/>
      <c r="B238" s="8"/>
      <c r="C238" s="8" t="s">
        <v>10</v>
      </c>
      <c r="D238" s="30">
        <f t="shared" ref="D238:I238" si="37">SUM(D235:D236)</f>
        <v>12374.83</v>
      </c>
      <c r="E238" s="30">
        <f t="shared" si="37"/>
        <v>684.06</v>
      </c>
      <c r="F238" s="30">
        <f t="shared" si="37"/>
        <v>86.45</v>
      </c>
      <c r="G238" s="30">
        <f t="shared" si="37"/>
        <v>7.2</v>
      </c>
      <c r="H238" s="30">
        <f t="shared" si="37"/>
        <v>1.54</v>
      </c>
      <c r="I238" s="30">
        <f t="shared" si="37"/>
        <v>0</v>
      </c>
      <c r="J238" s="31">
        <f>SUM(D238:I238)</f>
        <v>13154.080000000002</v>
      </c>
      <c r="K238" s="8"/>
      <c r="L238" s="8"/>
    </row>
    <row r="239" spans="1:12" ht="15.75" thickTop="1">
      <c r="A239" s="8"/>
      <c r="B239" s="8"/>
      <c r="C239" s="8"/>
      <c r="D239" s="8"/>
      <c r="E239" s="8"/>
      <c r="F239" s="15"/>
      <c r="G239" s="15"/>
      <c r="H239" s="15"/>
      <c r="I239" s="15"/>
      <c r="J239" s="20"/>
      <c r="K239" s="8"/>
      <c r="L239" s="8"/>
    </row>
    <row r="240" spans="1:12">
      <c r="A240" s="8"/>
      <c r="B240" s="8"/>
      <c r="C240" s="8"/>
      <c r="D240" s="8"/>
      <c r="E240" s="8"/>
      <c r="F240" s="15"/>
      <c r="G240" s="15"/>
      <c r="H240" s="15"/>
      <c r="I240" s="15"/>
      <c r="J240" s="20"/>
      <c r="K240" s="8"/>
      <c r="L240" s="8"/>
    </row>
    <row r="241" spans="1:12" ht="15.75" thickBot="1">
      <c r="A241" s="8">
        <v>60</v>
      </c>
      <c r="B241" s="8" t="s">
        <v>55</v>
      </c>
      <c r="C241" s="8" t="s">
        <v>12</v>
      </c>
      <c r="D241" s="27">
        <v>42806.77</v>
      </c>
      <c r="E241" s="27">
        <v>988.79</v>
      </c>
      <c r="F241" s="28">
        <v>271.45</v>
      </c>
      <c r="G241" s="28">
        <v>65.97</v>
      </c>
      <c r="H241" s="28">
        <v>123.05</v>
      </c>
      <c r="I241" s="28">
        <v>0</v>
      </c>
      <c r="J241" s="29">
        <f>SUM(D241:I241)</f>
        <v>44256.03</v>
      </c>
      <c r="K241" s="8"/>
      <c r="L241" s="8"/>
    </row>
    <row r="242" spans="1:12">
      <c r="A242" s="8"/>
      <c r="B242" s="8"/>
      <c r="C242" s="8"/>
      <c r="D242" s="8"/>
      <c r="E242" s="8"/>
      <c r="F242" s="15"/>
      <c r="G242" s="15"/>
      <c r="H242" s="15"/>
      <c r="I242" s="15"/>
      <c r="J242" s="20"/>
      <c r="K242" s="8"/>
      <c r="L242" s="8"/>
    </row>
    <row r="243" spans="1:12" ht="15.75" thickBot="1">
      <c r="A243" s="8"/>
      <c r="B243" s="8"/>
      <c r="C243" s="8" t="s">
        <v>10</v>
      </c>
      <c r="D243" s="30">
        <f t="shared" ref="D243:I243" si="38">SUM(D241:D242)</f>
        <v>42806.77</v>
      </c>
      <c r="E243" s="30">
        <f t="shared" si="38"/>
        <v>988.79</v>
      </c>
      <c r="F243" s="30">
        <f t="shared" si="38"/>
        <v>271.45</v>
      </c>
      <c r="G243" s="30">
        <f t="shared" si="38"/>
        <v>65.97</v>
      </c>
      <c r="H243" s="30">
        <f t="shared" si="38"/>
        <v>123.05</v>
      </c>
      <c r="I243" s="30">
        <f t="shared" si="38"/>
        <v>0</v>
      </c>
      <c r="J243" s="31">
        <f>SUM(D243:I243)</f>
        <v>44256.03</v>
      </c>
      <c r="K243" s="8"/>
      <c r="L243" s="8"/>
    </row>
    <row r="244" spans="1:12" ht="15.75" thickTop="1">
      <c r="A244" s="8"/>
      <c r="B244" s="8"/>
      <c r="C244" s="8"/>
      <c r="D244" s="8"/>
      <c r="E244" s="8"/>
      <c r="F244" s="15"/>
      <c r="G244" s="15"/>
      <c r="H244" s="15"/>
      <c r="I244" s="15"/>
      <c r="J244" s="20"/>
      <c r="K244" s="8"/>
      <c r="L244" s="8"/>
    </row>
    <row r="245" spans="1:12">
      <c r="A245" s="8"/>
      <c r="B245" s="8"/>
      <c r="C245" s="8"/>
      <c r="D245" s="8"/>
      <c r="E245" s="8"/>
      <c r="F245" s="15"/>
      <c r="G245" s="15"/>
      <c r="H245" s="15"/>
      <c r="I245" s="15"/>
      <c r="J245" s="20"/>
      <c r="K245" s="8"/>
      <c r="L245" s="8"/>
    </row>
    <row r="246" spans="1:12">
      <c r="A246" s="8">
        <v>61</v>
      </c>
      <c r="B246" s="8" t="s">
        <v>56</v>
      </c>
      <c r="C246" s="8" t="s">
        <v>12</v>
      </c>
      <c r="D246" s="8">
        <v>8539.5400000000009</v>
      </c>
      <c r="E246" s="8">
        <v>70.25</v>
      </c>
      <c r="F246" s="15">
        <v>77.39</v>
      </c>
      <c r="G246" s="15">
        <v>77.33</v>
      </c>
      <c r="H246" s="15">
        <v>0</v>
      </c>
      <c r="I246" s="15">
        <v>0</v>
      </c>
      <c r="J246" s="20">
        <f>SUM(D246:I246)</f>
        <v>8764.51</v>
      </c>
      <c r="K246" s="8"/>
      <c r="L246" s="8"/>
    </row>
    <row r="247" spans="1:12" ht="15.75" thickBot="1">
      <c r="A247" s="8"/>
      <c r="B247" s="8"/>
      <c r="C247" s="8" t="s">
        <v>13</v>
      </c>
      <c r="D247" s="27">
        <v>147.53</v>
      </c>
      <c r="E247" s="27">
        <v>1</v>
      </c>
      <c r="F247" s="28">
        <v>1.36</v>
      </c>
      <c r="G247" s="28">
        <v>1.03</v>
      </c>
      <c r="H247" s="28">
        <v>0</v>
      </c>
      <c r="I247" s="28">
        <v>0</v>
      </c>
      <c r="J247" s="29">
        <f>SUM(D247:I247)</f>
        <v>150.92000000000002</v>
      </c>
      <c r="K247" s="8"/>
      <c r="L247" s="8"/>
    </row>
    <row r="248" spans="1:12">
      <c r="A248" s="8"/>
      <c r="B248" s="8"/>
      <c r="C248" s="8"/>
      <c r="D248" s="8"/>
      <c r="E248" s="8"/>
      <c r="F248" s="15"/>
      <c r="G248" s="15"/>
      <c r="H248" s="15"/>
      <c r="I248" s="15"/>
      <c r="J248" s="20"/>
      <c r="K248" s="8"/>
      <c r="L248" s="8"/>
    </row>
    <row r="249" spans="1:12" ht="15.75" thickBot="1">
      <c r="A249" s="8"/>
      <c r="B249" s="8"/>
      <c r="C249" s="8" t="s">
        <v>10</v>
      </c>
      <c r="D249" s="30">
        <f t="shared" ref="D249:I249" si="39">SUM(D246:D247)</f>
        <v>8687.0700000000015</v>
      </c>
      <c r="E249" s="30">
        <f t="shared" si="39"/>
        <v>71.25</v>
      </c>
      <c r="F249" s="30">
        <f t="shared" si="39"/>
        <v>78.75</v>
      </c>
      <c r="G249" s="30">
        <f t="shared" si="39"/>
        <v>78.36</v>
      </c>
      <c r="H249" s="30">
        <f t="shared" si="39"/>
        <v>0</v>
      </c>
      <c r="I249" s="30">
        <f t="shared" si="39"/>
        <v>0</v>
      </c>
      <c r="J249" s="31">
        <f>SUM(D249:I249)</f>
        <v>8915.4300000000021</v>
      </c>
      <c r="K249" s="8"/>
      <c r="L249" s="8"/>
    </row>
    <row r="250" spans="1:12" ht="15.75" thickTop="1">
      <c r="A250" s="8"/>
      <c r="B250" s="8"/>
      <c r="C250" s="8"/>
      <c r="D250" s="8"/>
      <c r="E250" s="8"/>
      <c r="F250" s="15"/>
      <c r="G250" s="15"/>
      <c r="H250" s="15"/>
      <c r="I250" s="15"/>
      <c r="J250" s="20"/>
      <c r="K250" s="8"/>
      <c r="L250" s="8"/>
    </row>
    <row r="251" spans="1:12">
      <c r="A251" s="8"/>
      <c r="B251" s="8"/>
      <c r="C251" s="8"/>
      <c r="D251" s="8"/>
      <c r="E251" s="8"/>
      <c r="F251" s="15"/>
      <c r="G251" s="15"/>
      <c r="H251" s="15"/>
      <c r="I251" s="15"/>
      <c r="J251" s="20"/>
      <c r="K251" s="8"/>
      <c r="L251" s="8"/>
    </row>
    <row r="252" spans="1:12">
      <c r="A252" s="8">
        <v>62</v>
      </c>
      <c r="B252" s="8" t="s">
        <v>57</v>
      </c>
      <c r="C252" s="8" t="s">
        <v>12</v>
      </c>
      <c r="D252" s="8">
        <v>4226.92</v>
      </c>
      <c r="E252" s="8">
        <v>14.24</v>
      </c>
      <c r="F252" s="15">
        <v>0</v>
      </c>
      <c r="G252" s="15">
        <v>0</v>
      </c>
      <c r="H252" s="15">
        <v>0</v>
      </c>
      <c r="I252" s="15">
        <v>0</v>
      </c>
      <c r="J252" s="20">
        <f>SUM(D252:I252)</f>
        <v>4241.16</v>
      </c>
      <c r="K252" s="8"/>
      <c r="L252" s="8"/>
    </row>
    <row r="253" spans="1:12" ht="15.75" thickBot="1">
      <c r="A253" s="8"/>
      <c r="B253" s="8"/>
      <c r="C253" s="8" t="s">
        <v>13</v>
      </c>
      <c r="D253" s="27">
        <v>93.73</v>
      </c>
      <c r="E253" s="27">
        <v>0.31</v>
      </c>
      <c r="F253" s="28">
        <v>0</v>
      </c>
      <c r="G253" s="28">
        <v>0</v>
      </c>
      <c r="H253" s="28">
        <v>0</v>
      </c>
      <c r="I253" s="28">
        <v>0</v>
      </c>
      <c r="J253" s="29">
        <f>SUM(D253:I253)</f>
        <v>94.04</v>
      </c>
      <c r="K253" s="8"/>
      <c r="L253" s="8"/>
    </row>
    <row r="254" spans="1:12">
      <c r="A254" s="8"/>
      <c r="B254" s="8"/>
      <c r="C254" s="8"/>
      <c r="D254" s="8"/>
      <c r="E254" s="8"/>
      <c r="F254" s="15"/>
      <c r="G254" s="15"/>
      <c r="H254" s="15"/>
      <c r="I254" s="15"/>
      <c r="J254" s="20"/>
      <c r="K254" s="8"/>
      <c r="L254" s="8"/>
    </row>
    <row r="255" spans="1:12" ht="15.75" thickBot="1">
      <c r="A255" s="8"/>
      <c r="B255" s="8"/>
      <c r="C255" s="8" t="s">
        <v>10</v>
      </c>
      <c r="D255" s="30">
        <f t="shared" ref="D255:I255" si="40">SUM(D252:D253)</f>
        <v>4320.6499999999996</v>
      </c>
      <c r="E255" s="30">
        <f t="shared" si="40"/>
        <v>14.55</v>
      </c>
      <c r="F255" s="30">
        <f t="shared" si="40"/>
        <v>0</v>
      </c>
      <c r="G255" s="30">
        <f t="shared" si="40"/>
        <v>0</v>
      </c>
      <c r="H255" s="30">
        <f t="shared" si="40"/>
        <v>0</v>
      </c>
      <c r="I255" s="30">
        <f t="shared" si="40"/>
        <v>0</v>
      </c>
      <c r="J255" s="31">
        <f>SUM(D255:I255)</f>
        <v>4335.2</v>
      </c>
      <c r="K255" s="8"/>
      <c r="L255" s="8"/>
    </row>
    <row r="256" spans="1:12" ht="15.75" thickTop="1">
      <c r="A256" s="8"/>
      <c r="B256" s="8"/>
      <c r="C256" s="8"/>
      <c r="D256" s="8"/>
      <c r="E256" s="8"/>
      <c r="F256" s="15"/>
      <c r="G256" s="15"/>
      <c r="H256" s="15"/>
      <c r="I256" s="15"/>
      <c r="J256" s="20"/>
      <c r="K256" s="8"/>
      <c r="L256" s="8"/>
    </row>
    <row r="257" spans="1:12">
      <c r="A257" s="8"/>
      <c r="B257" s="8"/>
      <c r="C257" s="8"/>
      <c r="D257" s="8"/>
      <c r="E257" s="8"/>
      <c r="F257" s="15"/>
      <c r="G257" s="15"/>
      <c r="H257" s="15"/>
      <c r="I257" s="15"/>
      <c r="J257" s="20"/>
      <c r="K257" s="8"/>
      <c r="L257" s="8"/>
    </row>
    <row r="258" spans="1:12">
      <c r="A258" s="8">
        <v>63</v>
      </c>
      <c r="B258" s="8" t="s">
        <v>58</v>
      </c>
      <c r="C258" s="8" t="s">
        <v>12</v>
      </c>
      <c r="D258" s="26">
        <v>7390.99</v>
      </c>
      <c r="E258" s="26">
        <v>85.75</v>
      </c>
      <c r="F258" s="15">
        <v>80.87</v>
      </c>
      <c r="G258" s="15">
        <v>48.61</v>
      </c>
      <c r="H258" s="15">
        <v>49.41</v>
      </c>
      <c r="I258" s="15">
        <v>0</v>
      </c>
      <c r="J258" s="20">
        <f>SUM(D258:I258)</f>
        <v>7655.6299999999992</v>
      </c>
      <c r="K258" s="8"/>
      <c r="L258" s="8"/>
    </row>
    <row r="259" spans="1:12" ht="15.75" thickBot="1">
      <c r="A259" s="8"/>
      <c r="B259" s="8"/>
      <c r="C259" s="8" t="s">
        <v>13</v>
      </c>
      <c r="D259" s="27">
        <v>604.07000000000005</v>
      </c>
      <c r="E259" s="27">
        <v>7.06</v>
      </c>
      <c r="F259" s="28">
        <v>6.73</v>
      </c>
      <c r="G259" s="28">
        <v>3.68</v>
      </c>
      <c r="H259" s="28">
        <v>3.8</v>
      </c>
      <c r="I259" s="28">
        <v>0</v>
      </c>
      <c r="J259" s="29">
        <f>SUM(D259:I259)</f>
        <v>625.33999999999992</v>
      </c>
      <c r="K259" s="8"/>
      <c r="L259" s="8"/>
    </row>
    <row r="260" spans="1:12">
      <c r="A260" s="8"/>
      <c r="B260" s="8"/>
      <c r="C260" s="8"/>
      <c r="D260" s="8"/>
      <c r="E260" s="8"/>
      <c r="F260" s="15"/>
      <c r="G260" s="15"/>
      <c r="H260" s="15"/>
      <c r="I260" s="15"/>
      <c r="J260" s="20"/>
      <c r="K260" s="8"/>
      <c r="L260" s="8"/>
    </row>
    <row r="261" spans="1:12" ht="15.75" thickBot="1">
      <c r="A261" s="8"/>
      <c r="B261" s="8"/>
      <c r="C261" s="8" t="s">
        <v>10</v>
      </c>
      <c r="D261" s="30">
        <f t="shared" ref="D261:I261" si="41">SUM(D258:D259)</f>
        <v>7995.0599999999995</v>
      </c>
      <c r="E261" s="30">
        <f t="shared" si="41"/>
        <v>92.81</v>
      </c>
      <c r="F261" s="30">
        <f t="shared" si="41"/>
        <v>87.600000000000009</v>
      </c>
      <c r="G261" s="30">
        <f t="shared" si="41"/>
        <v>52.29</v>
      </c>
      <c r="H261" s="30">
        <f t="shared" si="41"/>
        <v>53.209999999999994</v>
      </c>
      <c r="I261" s="30">
        <f t="shared" si="41"/>
        <v>0</v>
      </c>
      <c r="J261" s="31">
        <f>SUM(D261:I261)</f>
        <v>8280.9699999999993</v>
      </c>
      <c r="K261" s="8"/>
      <c r="L261" s="8"/>
    </row>
    <row r="262" spans="1:12" ht="15.75" thickTop="1">
      <c r="A262" s="8"/>
      <c r="B262" s="8"/>
      <c r="C262" s="8"/>
      <c r="D262" s="8"/>
      <c r="E262" s="8"/>
      <c r="F262" s="15"/>
      <c r="G262" s="15"/>
      <c r="H262" s="15"/>
      <c r="I262" s="15"/>
      <c r="J262" s="20"/>
      <c r="K262" s="8"/>
      <c r="L262" s="8"/>
    </row>
    <row r="263" spans="1:12">
      <c r="A263" s="8"/>
      <c r="B263" s="8"/>
      <c r="C263" s="8"/>
      <c r="D263" s="8"/>
      <c r="E263" s="8"/>
      <c r="F263" s="15"/>
      <c r="G263" s="15"/>
      <c r="H263" s="15"/>
      <c r="I263" s="15"/>
      <c r="J263" s="20"/>
      <c r="K263" s="8"/>
      <c r="L263" s="8"/>
    </row>
    <row r="264" spans="1:12" ht="15.75" thickBot="1">
      <c r="A264" s="8">
        <v>64</v>
      </c>
      <c r="B264" s="8" t="s">
        <v>59</v>
      </c>
      <c r="C264" s="8" t="s">
        <v>12</v>
      </c>
      <c r="D264" s="27">
        <v>65548.479999999996</v>
      </c>
      <c r="E264" s="27">
        <v>1963.08</v>
      </c>
      <c r="F264" s="28">
        <v>579.63</v>
      </c>
      <c r="G264" s="28">
        <v>326.58999999999997</v>
      </c>
      <c r="H264" s="28">
        <v>121.79</v>
      </c>
      <c r="I264" s="28">
        <v>0</v>
      </c>
      <c r="J264" s="29">
        <f>SUM(D264:I264)</f>
        <v>68539.569999999992</v>
      </c>
      <c r="K264" s="8"/>
      <c r="L264" s="8"/>
    </row>
    <row r="265" spans="1:12">
      <c r="A265" s="8"/>
      <c r="B265" s="8"/>
      <c r="C265" s="8"/>
      <c r="D265" s="8"/>
      <c r="E265" s="8"/>
      <c r="F265" s="24"/>
      <c r="G265" s="24"/>
      <c r="H265" s="24"/>
      <c r="I265" s="24"/>
      <c r="J265" s="25"/>
      <c r="K265" s="8"/>
      <c r="L265" s="8"/>
    </row>
    <row r="266" spans="1:12" ht="15.75" thickBot="1">
      <c r="A266" s="8"/>
      <c r="B266" s="8"/>
      <c r="C266" s="8" t="s">
        <v>10</v>
      </c>
      <c r="D266" s="30">
        <f t="shared" ref="D266:I266" si="42">SUM(D264:D265)</f>
        <v>65548.479999999996</v>
      </c>
      <c r="E266" s="30">
        <f t="shared" si="42"/>
        <v>1963.08</v>
      </c>
      <c r="F266" s="30">
        <f t="shared" si="42"/>
        <v>579.63</v>
      </c>
      <c r="G266" s="30">
        <f t="shared" si="42"/>
        <v>326.58999999999997</v>
      </c>
      <c r="H266" s="30">
        <f t="shared" si="42"/>
        <v>121.79</v>
      </c>
      <c r="I266" s="30">
        <f t="shared" si="42"/>
        <v>0</v>
      </c>
      <c r="J266" s="31">
        <f>SUM(D266:I266)</f>
        <v>68539.569999999992</v>
      </c>
      <c r="K266" s="8"/>
      <c r="L266" s="8"/>
    </row>
    <row r="267" spans="1:12" ht="15.75" thickTop="1">
      <c r="A267" s="8"/>
      <c r="B267" s="8"/>
      <c r="C267" s="8"/>
      <c r="D267" s="8"/>
      <c r="E267" s="8"/>
      <c r="F267" s="15"/>
      <c r="G267" s="15"/>
      <c r="H267" s="15"/>
      <c r="I267" s="15"/>
      <c r="J267" s="20"/>
      <c r="K267" s="8"/>
      <c r="L267" s="8"/>
    </row>
    <row r="268" spans="1:12">
      <c r="A268" s="8"/>
      <c r="B268" s="12"/>
      <c r="C268" s="12"/>
      <c r="D268" s="12"/>
      <c r="E268" s="12"/>
      <c r="F268" s="16"/>
      <c r="G268" s="13"/>
      <c r="H268" s="13"/>
      <c r="I268" s="13"/>
      <c r="J268" s="20"/>
      <c r="K268" s="8"/>
      <c r="L268" s="8"/>
    </row>
    <row r="269" spans="1:12">
      <c r="A269" s="8">
        <v>65</v>
      </c>
      <c r="B269" s="8" t="s">
        <v>60</v>
      </c>
      <c r="C269" s="8" t="s">
        <v>12</v>
      </c>
      <c r="D269" s="8">
        <v>5742.76</v>
      </c>
      <c r="E269" s="8">
        <v>10.53</v>
      </c>
      <c r="F269" s="15">
        <v>0</v>
      </c>
      <c r="G269" s="15">
        <v>0</v>
      </c>
      <c r="H269" s="15">
        <v>0</v>
      </c>
      <c r="I269" s="15">
        <v>0</v>
      </c>
      <c r="J269" s="20">
        <f>SUM(D269:I269)</f>
        <v>5753.29</v>
      </c>
      <c r="K269" s="8"/>
      <c r="L269" s="8"/>
    </row>
    <row r="270" spans="1:12" ht="15.75" thickBot="1">
      <c r="A270" s="8"/>
      <c r="B270" s="8"/>
      <c r="C270" s="8" t="s">
        <v>13</v>
      </c>
      <c r="D270" s="27"/>
      <c r="E270" s="27"/>
      <c r="F270" s="28"/>
      <c r="G270" s="28"/>
      <c r="H270" s="28"/>
      <c r="I270" s="28"/>
      <c r="J270" s="29"/>
      <c r="K270" s="8"/>
      <c r="L270" s="8"/>
    </row>
    <row r="271" spans="1:12">
      <c r="A271" s="8"/>
      <c r="B271" s="8"/>
      <c r="C271" s="8"/>
      <c r="D271" s="8"/>
      <c r="E271" s="8"/>
      <c r="F271" s="15"/>
      <c r="G271" s="15"/>
      <c r="H271" s="15"/>
      <c r="I271" s="15"/>
      <c r="J271" s="20"/>
      <c r="K271" s="8"/>
      <c r="L271" s="8"/>
    </row>
    <row r="272" spans="1:12" ht="15.75" thickBot="1">
      <c r="A272" s="8"/>
      <c r="B272" s="8"/>
      <c r="C272" s="8" t="s">
        <v>10</v>
      </c>
      <c r="D272" s="30">
        <f t="shared" ref="D272:I272" si="43">SUM(D269:D270)</f>
        <v>5742.76</v>
      </c>
      <c r="E272" s="30">
        <f t="shared" si="43"/>
        <v>10.53</v>
      </c>
      <c r="F272" s="30">
        <f t="shared" si="43"/>
        <v>0</v>
      </c>
      <c r="G272" s="30">
        <f t="shared" si="43"/>
        <v>0</v>
      </c>
      <c r="H272" s="30">
        <f t="shared" si="43"/>
        <v>0</v>
      </c>
      <c r="I272" s="30">
        <f t="shared" si="43"/>
        <v>0</v>
      </c>
      <c r="J272" s="31">
        <f>SUM(D272:I272)</f>
        <v>5753.29</v>
      </c>
      <c r="K272" s="8"/>
      <c r="L272" s="8"/>
    </row>
    <row r="273" spans="1:12" ht="15.75" thickTop="1">
      <c r="A273" s="8"/>
      <c r="B273" s="8"/>
      <c r="C273" s="8"/>
      <c r="D273" s="8"/>
      <c r="E273" s="8"/>
      <c r="F273" s="15"/>
      <c r="G273" s="15"/>
      <c r="H273" s="15"/>
      <c r="I273" s="15"/>
      <c r="J273" s="20"/>
      <c r="K273" s="8"/>
      <c r="L273" s="8"/>
    </row>
    <row r="274" spans="1:12">
      <c r="A274" s="8"/>
      <c r="B274" s="8"/>
      <c r="C274" s="8"/>
      <c r="D274" s="8"/>
      <c r="E274" s="8"/>
      <c r="F274" s="15"/>
      <c r="G274" s="15"/>
      <c r="H274" s="15"/>
      <c r="I274" s="15"/>
      <c r="J274" s="20"/>
      <c r="K274" s="8"/>
      <c r="L274" s="8"/>
    </row>
    <row r="275" spans="1:12">
      <c r="A275" s="8">
        <v>66</v>
      </c>
      <c r="B275" s="8" t="s">
        <v>61</v>
      </c>
      <c r="C275" s="8" t="s">
        <v>12</v>
      </c>
      <c r="D275" s="8">
        <v>8907.85</v>
      </c>
      <c r="E275" s="8">
        <v>196.3</v>
      </c>
      <c r="F275" s="15">
        <v>169.97</v>
      </c>
      <c r="G275" s="15">
        <v>156.74</v>
      </c>
      <c r="H275" s="15">
        <v>165.75</v>
      </c>
      <c r="I275" s="15">
        <v>0</v>
      </c>
      <c r="J275" s="20">
        <f>SUM(D275:I275)</f>
        <v>9596.6099999999988</v>
      </c>
      <c r="K275" s="8"/>
      <c r="L275" s="8"/>
    </row>
    <row r="276" spans="1:12">
      <c r="A276" s="8"/>
      <c r="B276" s="8"/>
      <c r="C276" s="8" t="s">
        <v>13</v>
      </c>
      <c r="D276" s="26">
        <v>0</v>
      </c>
      <c r="E276" s="26">
        <v>0</v>
      </c>
      <c r="F276" s="15">
        <v>0</v>
      </c>
      <c r="G276" s="15">
        <v>0</v>
      </c>
      <c r="H276" s="15">
        <v>0</v>
      </c>
      <c r="I276" s="15">
        <v>0</v>
      </c>
      <c r="J276" s="35">
        <f>SUM(D276:I276)</f>
        <v>0</v>
      </c>
      <c r="K276" s="8"/>
      <c r="L276" s="8"/>
    </row>
    <row r="277" spans="1:12" ht="15.75" thickBot="1">
      <c r="A277" s="8"/>
      <c r="B277" s="8"/>
      <c r="C277" s="8" t="s">
        <v>73</v>
      </c>
      <c r="D277" s="27">
        <v>601.66</v>
      </c>
      <c r="E277" s="27">
        <v>13.44</v>
      </c>
      <c r="F277" s="28">
        <v>11.55</v>
      </c>
      <c r="G277" s="27">
        <v>10.81</v>
      </c>
      <c r="H277" s="27">
        <v>11.4</v>
      </c>
      <c r="I277" s="27">
        <v>0</v>
      </c>
      <c r="J277" s="29">
        <f>SUM(D277:I277)</f>
        <v>648.8599999999999</v>
      </c>
      <c r="K277" s="8"/>
      <c r="L277" s="8"/>
    </row>
    <row r="278" spans="1:12">
      <c r="A278" s="8"/>
      <c r="B278" s="8"/>
      <c r="C278" s="8"/>
      <c r="D278" s="8"/>
      <c r="E278" s="8"/>
      <c r="F278" s="15"/>
      <c r="G278" s="8"/>
      <c r="H278" s="8"/>
      <c r="I278" s="8"/>
      <c r="J278" s="20"/>
      <c r="K278" s="8"/>
      <c r="L278" s="8"/>
    </row>
    <row r="279" spans="1:12" ht="15.75" thickBot="1">
      <c r="A279" s="8"/>
      <c r="B279" s="8"/>
      <c r="C279" s="8" t="s">
        <v>10</v>
      </c>
      <c r="D279" s="30">
        <f t="shared" ref="D279:I279" si="44">SUM(D275:D277)</f>
        <v>9509.51</v>
      </c>
      <c r="E279" s="30">
        <f t="shared" si="44"/>
        <v>209.74</v>
      </c>
      <c r="F279" s="30">
        <f t="shared" si="44"/>
        <v>181.52</v>
      </c>
      <c r="G279" s="30">
        <f t="shared" si="44"/>
        <v>167.55</v>
      </c>
      <c r="H279" s="30">
        <f t="shared" si="44"/>
        <v>177.15</v>
      </c>
      <c r="I279" s="30">
        <f t="shared" si="44"/>
        <v>0</v>
      </c>
      <c r="J279" s="31">
        <f>SUM(D279:I279)</f>
        <v>10245.469999999999</v>
      </c>
      <c r="K279" s="8"/>
      <c r="L279" s="8"/>
    </row>
    <row r="280" spans="1:12" ht="15.75" thickTop="1">
      <c r="A280" s="8"/>
      <c r="B280" s="8"/>
      <c r="C280" s="8"/>
      <c r="D280" s="8"/>
      <c r="E280" s="8"/>
      <c r="F280" s="15"/>
      <c r="G280" s="15"/>
      <c r="H280" s="15"/>
      <c r="I280" s="15"/>
      <c r="J280" s="20"/>
      <c r="K280" s="8"/>
      <c r="L280" s="8"/>
    </row>
    <row r="281" spans="1:12">
      <c r="A281" s="8"/>
      <c r="B281" s="8"/>
      <c r="C281" s="8"/>
      <c r="D281" s="8"/>
      <c r="E281" s="8"/>
      <c r="F281" s="15"/>
      <c r="G281" s="15"/>
      <c r="H281" s="15"/>
      <c r="I281" s="15"/>
      <c r="J281" s="20"/>
      <c r="K281" s="8"/>
      <c r="L281" s="8"/>
    </row>
    <row r="282" spans="1:12">
      <c r="A282" s="8">
        <v>67</v>
      </c>
      <c r="B282" s="8" t="s">
        <v>62</v>
      </c>
      <c r="C282" s="8" t="s">
        <v>12</v>
      </c>
      <c r="D282" s="8">
        <v>7609.81</v>
      </c>
      <c r="E282" s="8">
        <v>260.10000000000002</v>
      </c>
      <c r="F282" s="15">
        <v>136.30000000000001</v>
      </c>
      <c r="G282" s="15">
        <v>66.52</v>
      </c>
      <c r="H282" s="15">
        <v>0</v>
      </c>
      <c r="I282" s="15">
        <v>0</v>
      </c>
      <c r="J282" s="20">
        <f>SUM(D282:I282)</f>
        <v>8072.7300000000014</v>
      </c>
      <c r="K282" s="8"/>
      <c r="L282" s="8"/>
    </row>
    <row r="283" spans="1:12" ht="15.75" thickBot="1">
      <c r="A283" s="8"/>
      <c r="B283" s="8"/>
      <c r="C283" s="8" t="s">
        <v>13</v>
      </c>
      <c r="D283" s="27">
        <v>253.8</v>
      </c>
      <c r="E283" s="27">
        <v>9.61</v>
      </c>
      <c r="F283" s="28">
        <v>5.18</v>
      </c>
      <c r="G283" s="28">
        <v>2.56</v>
      </c>
      <c r="H283" s="28">
        <v>0</v>
      </c>
      <c r="I283" s="28">
        <v>0</v>
      </c>
      <c r="J283" s="29">
        <f>SUM(D283:I283)</f>
        <v>271.15000000000003</v>
      </c>
      <c r="K283" s="8"/>
      <c r="L283" s="8"/>
    </row>
    <row r="284" spans="1:12">
      <c r="A284" s="8"/>
      <c r="B284" s="8"/>
      <c r="C284" s="8"/>
      <c r="D284" s="8"/>
      <c r="E284" s="8"/>
      <c r="F284" s="15"/>
      <c r="G284" s="15"/>
      <c r="H284" s="15"/>
      <c r="I284" s="15"/>
      <c r="J284" s="20"/>
      <c r="K284" s="8"/>
      <c r="L284" s="8"/>
    </row>
    <row r="285" spans="1:12" ht="15.75" thickBot="1">
      <c r="A285" s="8"/>
      <c r="B285" s="8"/>
      <c r="C285" s="8" t="s">
        <v>10</v>
      </c>
      <c r="D285" s="30">
        <f t="shared" ref="D285:I285" si="45">SUM(D282:D283)</f>
        <v>7863.6100000000006</v>
      </c>
      <c r="E285" s="30">
        <f t="shared" si="45"/>
        <v>269.71000000000004</v>
      </c>
      <c r="F285" s="30">
        <f t="shared" si="45"/>
        <v>141.48000000000002</v>
      </c>
      <c r="G285" s="30">
        <f t="shared" si="45"/>
        <v>69.08</v>
      </c>
      <c r="H285" s="30">
        <f t="shared" si="45"/>
        <v>0</v>
      </c>
      <c r="I285" s="30">
        <f t="shared" si="45"/>
        <v>0</v>
      </c>
      <c r="J285" s="31">
        <f>SUM(D285:I285)</f>
        <v>8343.880000000001</v>
      </c>
      <c r="K285" s="8"/>
      <c r="L285" s="8"/>
    </row>
    <row r="286" spans="1:12" ht="15.75" thickTop="1">
      <c r="A286" s="8"/>
      <c r="B286" s="8"/>
      <c r="C286" s="8"/>
      <c r="D286" s="8"/>
      <c r="E286" s="8"/>
      <c r="F286" s="15"/>
      <c r="G286" s="15"/>
      <c r="H286" s="15"/>
      <c r="I286" s="15"/>
      <c r="J286" s="20"/>
      <c r="K286" s="8"/>
      <c r="L286" s="8"/>
    </row>
    <row r="287" spans="1:12">
      <c r="A287" s="8"/>
      <c r="B287" s="8"/>
      <c r="C287" s="8"/>
      <c r="D287" s="8"/>
      <c r="E287" s="8"/>
      <c r="F287" s="15"/>
      <c r="G287" s="15"/>
      <c r="H287" s="15"/>
      <c r="I287" s="15"/>
      <c r="J287" s="20"/>
      <c r="K287" s="8"/>
      <c r="L287" s="8"/>
    </row>
    <row r="288" spans="1:12">
      <c r="A288" s="8">
        <v>68</v>
      </c>
      <c r="B288" s="8" t="s">
        <v>63</v>
      </c>
      <c r="C288" s="8" t="s">
        <v>12</v>
      </c>
      <c r="D288" s="8">
        <v>6971.46</v>
      </c>
      <c r="E288" s="8">
        <v>241.73</v>
      </c>
      <c r="F288" s="15">
        <v>122.2</v>
      </c>
      <c r="G288" s="15">
        <v>35.229999999999997</v>
      </c>
      <c r="H288" s="15">
        <v>0</v>
      </c>
      <c r="I288" s="15">
        <v>0</v>
      </c>
      <c r="J288" s="20">
        <f>SUM(D288:I288)</f>
        <v>7370.619999999999</v>
      </c>
      <c r="K288" s="8"/>
      <c r="L288" s="8"/>
    </row>
    <row r="289" spans="1:12" ht="15.75" thickBot="1">
      <c r="A289" s="8"/>
      <c r="B289" s="8"/>
      <c r="C289" s="8" t="s">
        <v>13</v>
      </c>
      <c r="D289" s="27"/>
      <c r="E289" s="27"/>
      <c r="F289" s="28"/>
      <c r="G289" s="28"/>
      <c r="H289" s="28"/>
      <c r="I289" s="28"/>
      <c r="J289" s="29"/>
      <c r="K289" s="8"/>
      <c r="L289" s="8"/>
    </row>
    <row r="290" spans="1:12">
      <c r="A290" s="8"/>
      <c r="B290" s="8"/>
      <c r="C290" s="8"/>
      <c r="D290" s="8"/>
      <c r="E290" s="8"/>
      <c r="F290" s="15"/>
      <c r="G290" s="15"/>
      <c r="H290" s="15"/>
      <c r="I290" s="15"/>
      <c r="J290" s="20"/>
      <c r="K290" s="8"/>
      <c r="L290" s="8"/>
    </row>
    <row r="291" spans="1:12" ht="15.75" thickBot="1">
      <c r="A291" s="8"/>
      <c r="B291" s="8"/>
      <c r="C291" s="8" t="s">
        <v>10</v>
      </c>
      <c r="D291" s="30">
        <f t="shared" ref="D291:I291" si="46">SUM(D288:D289)</f>
        <v>6971.46</v>
      </c>
      <c r="E291" s="30">
        <f t="shared" si="46"/>
        <v>241.73</v>
      </c>
      <c r="F291" s="30">
        <f t="shared" si="46"/>
        <v>122.2</v>
      </c>
      <c r="G291" s="30">
        <f t="shared" si="46"/>
        <v>35.229999999999997</v>
      </c>
      <c r="H291" s="30">
        <f t="shared" si="46"/>
        <v>0</v>
      </c>
      <c r="I291" s="30">
        <f t="shared" si="46"/>
        <v>0</v>
      </c>
      <c r="J291" s="31">
        <f>SUM(D291:I291)</f>
        <v>7370.619999999999</v>
      </c>
      <c r="K291" s="8"/>
      <c r="L291" s="8"/>
    </row>
    <row r="292" spans="1:12" ht="15.75" thickTop="1">
      <c r="A292" s="8"/>
      <c r="B292" s="8"/>
      <c r="C292" s="8"/>
      <c r="D292" s="8"/>
      <c r="E292" s="8"/>
      <c r="F292" s="15"/>
      <c r="G292" s="15"/>
      <c r="H292" s="15"/>
      <c r="I292" s="15"/>
      <c r="J292" s="20"/>
      <c r="K292" s="8"/>
      <c r="L292" s="8"/>
    </row>
    <row r="293" spans="1:12">
      <c r="A293" s="8"/>
      <c r="B293" s="8"/>
      <c r="C293" s="8"/>
      <c r="D293" s="8"/>
      <c r="E293" s="8"/>
      <c r="F293" s="15"/>
      <c r="G293" s="15"/>
      <c r="H293" s="15"/>
      <c r="I293" s="15"/>
      <c r="J293" s="20"/>
      <c r="K293" s="8"/>
      <c r="L293" s="8"/>
    </row>
    <row r="294" spans="1:12">
      <c r="A294" s="8">
        <v>69</v>
      </c>
      <c r="B294" s="8" t="s">
        <v>64</v>
      </c>
      <c r="C294" s="8" t="s">
        <v>12</v>
      </c>
      <c r="D294" s="8">
        <v>8482.0300000000007</v>
      </c>
      <c r="E294" s="8">
        <v>122.22</v>
      </c>
      <c r="F294" s="15">
        <v>43.31</v>
      </c>
      <c r="G294" s="15">
        <v>42.05</v>
      </c>
      <c r="H294" s="15">
        <v>11.78</v>
      </c>
      <c r="I294" s="15">
        <v>0</v>
      </c>
      <c r="J294" s="20">
        <f>SUM(D294:I294)</f>
        <v>8701.39</v>
      </c>
      <c r="K294" s="8"/>
      <c r="L294" s="8"/>
    </row>
    <row r="295" spans="1:12" ht="15.75" thickBot="1">
      <c r="A295" s="8"/>
      <c r="B295" s="8"/>
      <c r="C295" s="8" t="s">
        <v>13</v>
      </c>
      <c r="D295" s="33">
        <v>0</v>
      </c>
      <c r="E295" s="33">
        <v>0</v>
      </c>
      <c r="F295" s="28">
        <v>0</v>
      </c>
      <c r="G295" s="28">
        <v>0</v>
      </c>
      <c r="H295" s="28">
        <v>0</v>
      </c>
      <c r="I295" s="28">
        <v>0</v>
      </c>
      <c r="J295" s="34">
        <v>0</v>
      </c>
      <c r="K295" s="8"/>
      <c r="L295" s="8"/>
    </row>
    <row r="296" spans="1:12">
      <c r="A296" s="8"/>
      <c r="B296" s="8"/>
      <c r="C296" s="8"/>
      <c r="D296" s="8"/>
      <c r="E296" s="8"/>
      <c r="F296" s="15"/>
      <c r="G296" s="15"/>
      <c r="H296" s="15"/>
      <c r="I296" s="15"/>
      <c r="J296" s="20"/>
      <c r="K296" s="8"/>
      <c r="L296" s="8"/>
    </row>
    <row r="297" spans="1:12" ht="15.75" thickBot="1">
      <c r="A297" s="8"/>
      <c r="B297" s="8"/>
      <c r="C297" s="8" t="s">
        <v>10</v>
      </c>
      <c r="D297" s="30">
        <f t="shared" ref="D297:I297" si="47">SUM(D294:D295)</f>
        <v>8482.0300000000007</v>
      </c>
      <c r="E297" s="30">
        <f t="shared" si="47"/>
        <v>122.22</v>
      </c>
      <c r="F297" s="30">
        <f t="shared" si="47"/>
        <v>43.31</v>
      </c>
      <c r="G297" s="30">
        <f t="shared" si="47"/>
        <v>42.05</v>
      </c>
      <c r="H297" s="30">
        <f t="shared" si="47"/>
        <v>11.78</v>
      </c>
      <c r="I297" s="30">
        <f t="shared" si="47"/>
        <v>0</v>
      </c>
      <c r="J297" s="31">
        <f>SUM(D297:I297)</f>
        <v>8701.39</v>
      </c>
      <c r="K297" s="8"/>
      <c r="L297" s="8"/>
    </row>
    <row r="298" spans="1:12" ht="15.75" thickTop="1">
      <c r="A298" s="8"/>
      <c r="B298" s="8"/>
      <c r="C298" s="8"/>
      <c r="D298" s="8"/>
      <c r="E298" s="8"/>
      <c r="F298" s="15"/>
      <c r="G298" s="15"/>
      <c r="H298" s="15"/>
      <c r="I298" s="15"/>
      <c r="J298" s="20"/>
      <c r="K298" s="8"/>
      <c r="L298" s="8"/>
    </row>
    <row r="299" spans="1:12">
      <c r="A299" s="8"/>
      <c r="B299" s="8"/>
      <c r="C299" s="8"/>
      <c r="D299" s="8"/>
      <c r="E299" s="8"/>
      <c r="F299" s="15"/>
      <c r="G299" s="15"/>
      <c r="H299" s="15"/>
      <c r="I299" s="15"/>
      <c r="J299" s="20"/>
      <c r="K299" s="8"/>
      <c r="L299" s="8"/>
    </row>
    <row r="300" spans="1:12">
      <c r="A300" s="8">
        <v>70</v>
      </c>
      <c r="B300" s="8" t="s">
        <v>65</v>
      </c>
      <c r="C300" s="8" t="s">
        <v>12</v>
      </c>
      <c r="D300" s="8">
        <v>7904.54</v>
      </c>
      <c r="E300" s="8">
        <v>293.39</v>
      </c>
      <c r="F300" s="15">
        <v>213.09</v>
      </c>
      <c r="G300" s="15">
        <v>0</v>
      </c>
      <c r="H300" s="15">
        <v>0</v>
      </c>
      <c r="I300" s="15">
        <v>0</v>
      </c>
      <c r="J300" s="20">
        <f>SUM(D300:I300)</f>
        <v>8411.02</v>
      </c>
      <c r="K300" s="8"/>
      <c r="L300" s="8"/>
    </row>
    <row r="301" spans="1:12" ht="15.75" thickBot="1">
      <c r="A301" s="8"/>
      <c r="B301" s="8"/>
      <c r="C301" s="8" t="s">
        <v>78</v>
      </c>
      <c r="D301" s="33">
        <v>0</v>
      </c>
      <c r="E301" s="33">
        <v>0</v>
      </c>
      <c r="F301" s="28">
        <v>0</v>
      </c>
      <c r="G301" s="28">
        <v>0</v>
      </c>
      <c r="H301" s="28">
        <v>0</v>
      </c>
      <c r="I301" s="28">
        <v>0</v>
      </c>
      <c r="J301" s="29">
        <f>SUM(D301:I301)</f>
        <v>0</v>
      </c>
      <c r="K301" s="8"/>
      <c r="L301" s="8"/>
    </row>
    <row r="302" spans="1:12">
      <c r="A302" s="8"/>
      <c r="B302" s="8"/>
      <c r="C302" s="8"/>
      <c r="D302" s="8"/>
      <c r="E302" s="8"/>
      <c r="F302" s="15"/>
      <c r="G302" s="15"/>
      <c r="H302" s="15"/>
      <c r="I302" s="15"/>
      <c r="J302" s="20"/>
      <c r="K302" s="8"/>
      <c r="L302" s="8"/>
    </row>
    <row r="303" spans="1:12" ht="15.75" thickBot="1">
      <c r="A303" s="8"/>
      <c r="B303" s="8"/>
      <c r="C303" s="8" t="s">
        <v>10</v>
      </c>
      <c r="D303" s="30">
        <f t="shared" ref="D303:I303" si="48">SUM(D300:D302)</f>
        <v>7904.54</v>
      </c>
      <c r="E303" s="30">
        <f t="shared" si="48"/>
        <v>293.39</v>
      </c>
      <c r="F303" s="30">
        <f t="shared" si="48"/>
        <v>213.09</v>
      </c>
      <c r="G303" s="30">
        <f t="shared" si="48"/>
        <v>0</v>
      </c>
      <c r="H303" s="30">
        <f t="shared" si="48"/>
        <v>0</v>
      </c>
      <c r="I303" s="30">
        <f t="shared" si="48"/>
        <v>0</v>
      </c>
      <c r="J303" s="31">
        <f>SUM(D303:I303)</f>
        <v>8411.02</v>
      </c>
      <c r="K303" s="8"/>
      <c r="L303" s="8"/>
    </row>
    <row r="304" spans="1:12" ht="15.75" thickTop="1">
      <c r="A304" s="8"/>
      <c r="B304" s="8"/>
      <c r="C304" s="8"/>
      <c r="D304" s="8"/>
      <c r="E304" s="8"/>
      <c r="F304" s="15"/>
      <c r="G304" s="15"/>
      <c r="H304" s="15"/>
      <c r="I304" s="15"/>
      <c r="J304" s="20"/>
      <c r="K304" s="8"/>
      <c r="L304" s="8"/>
    </row>
    <row r="305" spans="1:12">
      <c r="A305" s="8"/>
      <c r="B305" s="8"/>
      <c r="C305" s="8" t="s">
        <v>66</v>
      </c>
      <c r="D305" s="15">
        <f t="shared" ref="D305:I305" si="49">SUM(D9:D303)/2</f>
        <v>516231.78000000009</v>
      </c>
      <c r="E305" s="15">
        <f t="shared" si="49"/>
        <v>18631.890000000014</v>
      </c>
      <c r="F305" s="15">
        <f t="shared" si="49"/>
        <v>8561.380000000001</v>
      </c>
      <c r="G305" s="15">
        <f t="shared" si="49"/>
        <v>3810.8800000000006</v>
      </c>
      <c r="H305" s="15">
        <f t="shared" si="49"/>
        <v>1967.3400000000006</v>
      </c>
      <c r="I305" s="15">
        <f t="shared" si="49"/>
        <v>2.4700000000000002</v>
      </c>
      <c r="J305" s="20">
        <f>SUM(D305:I305)</f>
        <v>549205.74000000011</v>
      </c>
      <c r="K305" s="8"/>
      <c r="L305" s="8"/>
    </row>
    <row r="306" spans="1:12">
      <c r="A306" s="8"/>
      <c r="B306" s="8"/>
      <c r="C306" s="8"/>
      <c r="D306" s="8"/>
      <c r="E306" s="8"/>
      <c r="F306" s="15"/>
      <c r="G306" s="8"/>
      <c r="H306" s="8"/>
      <c r="I306" s="8"/>
      <c r="J306" s="20"/>
      <c r="K306" s="8"/>
      <c r="L306" s="8"/>
    </row>
    <row r="307" spans="1:12">
      <c r="A307" s="8"/>
      <c r="B307" s="8"/>
      <c r="C307" s="8"/>
      <c r="D307" s="8"/>
      <c r="E307" s="8"/>
      <c r="F307" s="8"/>
      <c r="G307" s="8"/>
      <c r="H307" s="8"/>
      <c r="I307" s="8"/>
      <c r="J307" s="20"/>
      <c r="K307" s="8"/>
      <c r="L307" s="8"/>
    </row>
  </sheetData>
  <phoneticPr fontId="0" type="noConversion"/>
  <pageMargins left="0.25" right="0.25" top="0.25" bottom="0.25" header="0.5" footer="0.5"/>
  <pageSetup scale="70" fitToHeight="50" orientation="landscape" r:id="rId1"/>
  <headerFooter alignWithMargins="0"/>
  <rowBreaks count="51" manualBreakCount="51">
    <brk id="7" max="65535" man="1"/>
    <brk id="13" max="9" man="1"/>
    <brk id="18" max="65535" man="1"/>
    <brk id="24" max="65535" man="1"/>
    <brk id="30" max="65535" man="1"/>
    <brk id="36" max="65535" man="1"/>
    <brk id="43" max="65535" man="1"/>
    <brk id="49" max="65535" man="1"/>
    <brk id="56" max="65535" man="1"/>
    <brk id="62" max="65535" man="1"/>
    <brk id="68" max="65535" man="1"/>
    <brk id="75" max="65535" man="1"/>
    <brk id="82" max="65535" man="1"/>
    <brk id="89" max="65535" man="1"/>
    <brk id="94" max="65535" man="1"/>
    <brk id="100" max="65535" man="1"/>
    <brk id="105" max="65535" man="1"/>
    <brk id="111" max="65535" man="1"/>
    <brk id="118" max="65535" man="1"/>
    <brk id="123" max="9" man="1"/>
    <brk id="128" max="65535" man="1"/>
    <brk id="134" max="65535" man="1"/>
    <brk id="141" max="65535" man="1"/>
    <brk id="148" max="9" man="1"/>
    <brk id="154" max="9" man="1"/>
    <brk id="158" max="9" man="1"/>
    <brk id="163" max="65535" man="1"/>
    <brk id="168" max="65535" man="1"/>
    <brk id="173" max="65535" man="1"/>
    <brk id="179" max="65535" man="1"/>
    <brk id="186" max="65535" man="1"/>
    <brk id="192" max="65535" man="1"/>
    <brk id="198" max="65535" man="1"/>
    <brk id="203" max="65535" man="1"/>
    <brk id="209" max="65535" man="1"/>
    <brk id="215" max="65535" man="1"/>
    <brk id="221" max="65535" man="1"/>
    <brk id="227" max="65535" man="1"/>
    <brk id="233" max="65535" man="1"/>
    <brk id="238" max="65535" man="1"/>
    <brk id="244" max="65535" man="1"/>
    <brk id="250" max="65535" man="1"/>
    <brk id="256" max="65535" man="1"/>
    <brk id="261" max="65535" man="1"/>
    <brk id="267" max="65535" man="1"/>
    <brk id="274" max="65535" man="1"/>
    <brk id="280" max="65535" man="1"/>
    <brk id="286" max="65535" man="1"/>
    <brk id="291" max="65535" man="1"/>
    <brk id="298" max="65535" man="1"/>
    <brk id="303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A1:L310"/>
  <sheetViews>
    <sheetView showOutlineSymbols="0" defaultGridColor="0" view="pageBreakPreview" topLeftCell="B1" colorId="23" zoomScale="60" zoomScaleNormal="75" workbookViewId="0">
      <selection activeCell="J309" sqref="J309"/>
    </sheetView>
  </sheetViews>
  <sheetFormatPr defaultColWidth="9.6640625" defaultRowHeight="15"/>
  <cols>
    <col min="1" max="1" width="9.6640625" style="10" customWidth="1"/>
    <col min="2" max="2" width="27.44140625" style="10" bestFit="1" customWidth="1"/>
    <col min="3" max="3" width="24.44140625" style="10" bestFit="1" customWidth="1"/>
    <col min="4" max="5" width="12.77734375" style="10" customWidth="1"/>
    <col min="6" max="6" width="12.6640625" style="10" customWidth="1"/>
    <col min="7" max="8" width="11.6640625" style="10" customWidth="1"/>
    <col min="9" max="9" width="9.6640625" style="10" customWidth="1"/>
    <col min="10" max="10" width="14.44140625" style="23" customWidth="1"/>
    <col min="11" max="16384" width="9.6640625" style="10"/>
  </cols>
  <sheetData>
    <row r="1" spans="1:12">
      <c r="A1" s="8"/>
      <c r="B1" s="8"/>
      <c r="C1" s="8"/>
      <c r="D1" s="8"/>
      <c r="E1" s="8"/>
      <c r="F1" s="8"/>
      <c r="G1" s="8"/>
      <c r="H1" s="8"/>
      <c r="I1" s="9"/>
      <c r="J1" s="20"/>
      <c r="K1" s="8"/>
      <c r="L1" s="8"/>
    </row>
    <row r="2" spans="1:12">
      <c r="A2" s="8"/>
      <c r="B2" s="8"/>
      <c r="C2" s="8"/>
      <c r="D2" s="8"/>
      <c r="E2" s="8"/>
      <c r="F2" s="8"/>
      <c r="G2" s="8"/>
      <c r="H2" s="8"/>
      <c r="I2" s="8"/>
      <c r="J2" s="20"/>
      <c r="K2" s="8"/>
      <c r="L2" s="8"/>
    </row>
    <row r="3" spans="1:12">
      <c r="A3" s="8"/>
      <c r="B3" s="8" t="s">
        <v>96</v>
      </c>
      <c r="C3" s="8"/>
      <c r="D3" s="8"/>
      <c r="E3" s="8"/>
      <c r="F3" s="8"/>
      <c r="G3" s="8"/>
      <c r="H3" s="8"/>
      <c r="I3" s="8"/>
      <c r="J3" s="20"/>
      <c r="K3" s="8"/>
      <c r="L3" s="8"/>
    </row>
    <row r="4" spans="1:12" ht="15.75">
      <c r="A4" s="8"/>
      <c r="B4" s="11" t="s">
        <v>1</v>
      </c>
      <c r="C4" s="9"/>
      <c r="D4" s="9"/>
      <c r="E4" s="9"/>
      <c r="F4" s="9"/>
      <c r="G4" s="9"/>
      <c r="H4" s="9"/>
      <c r="I4" s="9"/>
      <c r="J4" s="21"/>
      <c r="K4" s="8"/>
      <c r="L4" s="8"/>
    </row>
    <row r="5" spans="1:12" ht="15.75">
      <c r="A5" s="8"/>
      <c r="B5" s="11" t="s">
        <v>95</v>
      </c>
      <c r="C5" s="9"/>
      <c r="D5" s="9"/>
      <c r="E5" s="9"/>
      <c r="F5" s="9"/>
      <c r="G5" s="9"/>
      <c r="H5" s="9"/>
      <c r="I5" s="9"/>
      <c r="J5" s="21"/>
      <c r="K5" s="8"/>
      <c r="L5" s="8"/>
    </row>
    <row r="6" spans="1:12">
      <c r="A6" s="8"/>
      <c r="B6" s="8"/>
      <c r="C6" s="8"/>
      <c r="D6" s="8"/>
      <c r="E6" s="8"/>
      <c r="F6" s="8"/>
      <c r="G6" s="8"/>
      <c r="H6" s="8"/>
      <c r="I6" s="8"/>
      <c r="J6" s="20"/>
      <c r="K6" s="8"/>
      <c r="L6" s="8"/>
    </row>
    <row r="7" spans="1:12">
      <c r="A7" s="8"/>
      <c r="B7" s="12" t="s">
        <v>3</v>
      </c>
      <c r="C7" s="12" t="s">
        <v>4</v>
      </c>
      <c r="D7" s="14">
        <v>2002</v>
      </c>
      <c r="E7" s="14">
        <v>2001</v>
      </c>
      <c r="F7" s="13">
        <v>2000</v>
      </c>
      <c r="G7" s="13">
        <v>1999</v>
      </c>
      <c r="H7" s="13">
        <v>1998</v>
      </c>
      <c r="I7" s="14">
        <v>1997</v>
      </c>
      <c r="J7" s="22" t="s">
        <v>10</v>
      </c>
      <c r="K7" s="8"/>
      <c r="L7" s="8"/>
    </row>
    <row r="8" spans="1:12">
      <c r="A8" s="8"/>
      <c r="B8" s="8"/>
      <c r="C8" s="8"/>
      <c r="D8" s="8"/>
      <c r="E8" s="8"/>
      <c r="F8" s="8"/>
      <c r="G8" s="8"/>
      <c r="H8" s="8"/>
      <c r="I8" s="8"/>
      <c r="J8" s="20"/>
      <c r="K8" s="8"/>
      <c r="L8" s="8"/>
    </row>
    <row r="9" spans="1:12">
      <c r="A9" s="8">
        <v>21</v>
      </c>
      <c r="B9" s="8" t="s">
        <v>11</v>
      </c>
      <c r="C9" s="8" t="s">
        <v>12</v>
      </c>
      <c r="D9" s="8">
        <v>8104.95</v>
      </c>
      <c r="E9" s="8">
        <v>0</v>
      </c>
      <c r="F9" s="15">
        <v>0</v>
      </c>
      <c r="G9" s="15">
        <v>0</v>
      </c>
      <c r="H9" s="15">
        <v>0</v>
      </c>
      <c r="I9" s="15">
        <v>0</v>
      </c>
      <c r="J9" s="20">
        <f>SUM(D9:I9)</f>
        <v>8104.95</v>
      </c>
      <c r="K9" s="8"/>
      <c r="L9" s="8"/>
    </row>
    <row r="10" spans="1:12" ht="15.75" thickBot="1">
      <c r="A10" s="8"/>
      <c r="B10" s="8"/>
      <c r="C10" s="8" t="s">
        <v>13</v>
      </c>
      <c r="D10" s="27">
        <v>259.05</v>
      </c>
      <c r="E10" s="27">
        <v>0</v>
      </c>
      <c r="F10" s="28">
        <v>0</v>
      </c>
      <c r="G10" s="28">
        <v>0</v>
      </c>
      <c r="H10" s="28">
        <v>0</v>
      </c>
      <c r="I10" s="28">
        <v>0</v>
      </c>
      <c r="J10" s="29">
        <f>SUM(D10:I10)</f>
        <v>259.05</v>
      </c>
      <c r="K10" s="8"/>
      <c r="L10" s="8"/>
    </row>
    <row r="11" spans="1:12">
      <c r="A11" s="8"/>
      <c r="B11" s="8"/>
      <c r="C11" s="8"/>
      <c r="D11" s="8"/>
      <c r="E11" s="8"/>
      <c r="F11" s="15"/>
      <c r="G11" s="15"/>
      <c r="H11" s="15"/>
      <c r="I11" s="15"/>
      <c r="J11" s="20"/>
      <c r="K11" s="8"/>
      <c r="L11" s="8"/>
    </row>
    <row r="12" spans="1:12" ht="15.75" thickBot="1">
      <c r="A12" s="8"/>
      <c r="B12" s="8"/>
      <c r="C12" s="8" t="s">
        <v>10</v>
      </c>
      <c r="D12" s="30">
        <f t="shared" ref="D12:I12" si="0">SUM(D9:D10)</f>
        <v>8364</v>
      </c>
      <c r="E12" s="30">
        <f t="shared" si="0"/>
        <v>0</v>
      </c>
      <c r="F12" s="30">
        <f t="shared" si="0"/>
        <v>0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>SUM(D12:I12)</f>
        <v>8364</v>
      </c>
      <c r="K12" s="8"/>
      <c r="L12" s="8"/>
    </row>
    <row r="13" spans="1:12" ht="15.75" thickTop="1">
      <c r="A13" s="8"/>
      <c r="B13" s="8"/>
      <c r="C13" s="8"/>
      <c r="D13" s="8"/>
      <c r="E13" s="8"/>
      <c r="F13" s="15"/>
      <c r="G13" s="8"/>
      <c r="H13" s="8"/>
      <c r="I13" s="8"/>
      <c r="J13" s="20"/>
      <c r="K13" s="8"/>
      <c r="L13" s="8"/>
    </row>
    <row r="14" spans="1:12">
      <c r="A14" s="8">
        <v>22</v>
      </c>
      <c r="B14" s="8" t="s">
        <v>15</v>
      </c>
      <c r="C14" s="8" t="s">
        <v>12</v>
      </c>
      <c r="D14" s="8">
        <v>7811.27</v>
      </c>
      <c r="E14" s="8">
        <v>174.57</v>
      </c>
      <c r="F14" s="15">
        <v>52.33</v>
      </c>
      <c r="G14" s="15">
        <v>18.809999999999999</v>
      </c>
      <c r="H14" s="15">
        <v>11.55</v>
      </c>
      <c r="I14" s="15">
        <v>0</v>
      </c>
      <c r="J14" s="20">
        <f>SUM(D14:I14)</f>
        <v>8068.5300000000007</v>
      </c>
      <c r="K14" s="8"/>
      <c r="L14" s="8"/>
    </row>
    <row r="15" spans="1:12" ht="15.75" thickBot="1">
      <c r="A15" s="8"/>
      <c r="B15" s="8"/>
      <c r="C15" s="8" t="s">
        <v>13</v>
      </c>
      <c r="D15" s="27">
        <v>675.17</v>
      </c>
      <c r="E15" s="27">
        <v>11.46</v>
      </c>
      <c r="F15" s="28">
        <v>3.41</v>
      </c>
      <c r="G15" s="28">
        <v>1.55</v>
      </c>
      <c r="H15" s="28">
        <v>0.9</v>
      </c>
      <c r="I15" s="28">
        <v>0</v>
      </c>
      <c r="J15" s="29">
        <f>SUM(D15:I15)</f>
        <v>692.4899999999999</v>
      </c>
      <c r="K15" s="8"/>
      <c r="L15" s="8"/>
    </row>
    <row r="16" spans="1:12">
      <c r="A16" s="8"/>
      <c r="B16" s="8"/>
      <c r="C16" s="8"/>
      <c r="D16" s="8"/>
      <c r="E16" s="8"/>
      <c r="F16" s="15"/>
      <c r="G16" s="15"/>
      <c r="H16" s="15"/>
      <c r="I16" s="15"/>
      <c r="J16" s="20"/>
      <c r="K16" s="8"/>
      <c r="L16" s="8"/>
    </row>
    <row r="17" spans="1:12" ht="15.75" thickBot="1">
      <c r="A17" s="8"/>
      <c r="B17" s="8"/>
      <c r="C17" s="8" t="s">
        <v>10</v>
      </c>
      <c r="D17" s="30">
        <f t="shared" ref="D17:I17" si="1">SUM(D14:D15)</f>
        <v>8486.44</v>
      </c>
      <c r="E17" s="30">
        <f t="shared" si="1"/>
        <v>186.03</v>
      </c>
      <c r="F17" s="30">
        <f t="shared" si="1"/>
        <v>55.739999999999995</v>
      </c>
      <c r="G17" s="30">
        <f t="shared" si="1"/>
        <v>20.36</v>
      </c>
      <c r="H17" s="30">
        <f t="shared" si="1"/>
        <v>12.450000000000001</v>
      </c>
      <c r="I17" s="30">
        <f t="shared" si="1"/>
        <v>0</v>
      </c>
      <c r="J17" s="31">
        <f>SUM(D17:I17)</f>
        <v>8761.0200000000023</v>
      </c>
      <c r="K17" s="8"/>
      <c r="L17" s="8"/>
    </row>
    <row r="18" spans="1:12" ht="15.75" thickTop="1">
      <c r="A18" s="8"/>
      <c r="B18" s="8"/>
      <c r="C18" s="8"/>
      <c r="D18" s="8"/>
      <c r="E18" s="8"/>
      <c r="F18" s="15"/>
      <c r="G18" s="15"/>
      <c r="H18" s="15"/>
      <c r="I18" s="15"/>
      <c r="J18" s="20"/>
      <c r="K18" s="8"/>
      <c r="L18" s="8"/>
    </row>
    <row r="19" spans="1:12">
      <c r="A19" s="8">
        <v>23</v>
      </c>
      <c r="B19" s="8" t="s">
        <v>16</v>
      </c>
      <c r="C19" s="8" t="s">
        <v>12</v>
      </c>
      <c r="D19" s="8">
        <v>7232.51</v>
      </c>
      <c r="E19" s="8">
        <v>725.83</v>
      </c>
      <c r="F19" s="15">
        <v>606.41999999999996</v>
      </c>
      <c r="G19" s="15">
        <v>342.85</v>
      </c>
      <c r="H19" s="15">
        <v>0</v>
      </c>
      <c r="I19" s="15">
        <v>0</v>
      </c>
      <c r="J19" s="20">
        <f>SUM(D19:I19)</f>
        <v>8907.61</v>
      </c>
      <c r="K19" s="8"/>
      <c r="L19" s="8"/>
    </row>
    <row r="20" spans="1:12" ht="15.75" thickBot="1">
      <c r="A20" s="8"/>
      <c r="B20" s="8"/>
      <c r="C20" s="8" t="s">
        <v>13</v>
      </c>
      <c r="D20" s="33">
        <v>0</v>
      </c>
      <c r="E20" s="33">
        <v>0</v>
      </c>
      <c r="F20" s="28">
        <v>0</v>
      </c>
      <c r="G20" s="28">
        <v>0</v>
      </c>
      <c r="H20" s="28">
        <v>0</v>
      </c>
      <c r="I20" s="28">
        <v>0</v>
      </c>
      <c r="J20" s="29">
        <f>SUM(D20:I20)</f>
        <v>0</v>
      </c>
      <c r="K20" s="8"/>
      <c r="L20" s="8"/>
    </row>
    <row r="21" spans="1:12">
      <c r="A21" s="8"/>
      <c r="B21" s="8"/>
      <c r="C21" s="8"/>
      <c r="D21" s="8"/>
      <c r="E21" s="8"/>
      <c r="F21" s="15"/>
      <c r="G21" s="15"/>
      <c r="H21" s="15"/>
      <c r="I21" s="15"/>
      <c r="J21" s="20"/>
      <c r="K21" s="8"/>
      <c r="L21" s="8"/>
    </row>
    <row r="22" spans="1:12" ht="15.75" thickBot="1">
      <c r="A22" s="8"/>
      <c r="B22" s="8"/>
      <c r="C22" s="8" t="s">
        <v>10</v>
      </c>
      <c r="D22" s="30">
        <f t="shared" ref="D22:I22" si="2">SUM(D19:D20)</f>
        <v>7232.51</v>
      </c>
      <c r="E22" s="30">
        <f t="shared" si="2"/>
        <v>725.83</v>
      </c>
      <c r="F22" s="30">
        <f t="shared" si="2"/>
        <v>606.41999999999996</v>
      </c>
      <c r="G22" s="30">
        <f t="shared" si="2"/>
        <v>342.85</v>
      </c>
      <c r="H22" s="30">
        <f t="shared" si="2"/>
        <v>0</v>
      </c>
      <c r="I22" s="30">
        <f t="shared" si="2"/>
        <v>0</v>
      </c>
      <c r="J22" s="31">
        <f>SUM(D22:I22)</f>
        <v>8907.61</v>
      </c>
      <c r="K22" s="8"/>
      <c r="L22" s="8"/>
    </row>
    <row r="23" spans="1:12" ht="15.75" thickTop="1">
      <c r="A23" s="8"/>
      <c r="B23" s="8"/>
      <c r="C23" s="8"/>
      <c r="D23" s="8"/>
      <c r="E23" s="8"/>
      <c r="F23" s="15"/>
      <c r="G23" s="15"/>
      <c r="H23" s="15"/>
      <c r="I23" s="15"/>
      <c r="J23" s="20"/>
      <c r="K23" s="8"/>
      <c r="L23" s="8"/>
    </row>
    <row r="24" spans="1:12">
      <c r="A24" s="8"/>
      <c r="B24" s="8"/>
      <c r="C24" s="8"/>
      <c r="D24" s="8"/>
      <c r="E24" s="8"/>
      <c r="F24" s="15"/>
      <c r="G24" s="8"/>
      <c r="H24" s="8"/>
      <c r="I24" s="8"/>
      <c r="J24" s="20"/>
      <c r="K24" s="8"/>
      <c r="L24" s="8"/>
    </row>
    <row r="25" spans="1:12">
      <c r="A25" s="8"/>
      <c r="B25" s="8"/>
      <c r="C25" s="8"/>
      <c r="D25" s="8"/>
      <c r="E25" s="8"/>
      <c r="F25" s="15"/>
      <c r="G25" s="15"/>
      <c r="H25" s="15"/>
      <c r="I25" s="15"/>
      <c r="J25" s="20"/>
      <c r="K25" s="8"/>
      <c r="L25" s="8"/>
    </row>
    <row r="26" spans="1:12" ht="15.75" thickBot="1">
      <c r="A26" s="8">
        <v>24</v>
      </c>
      <c r="B26" s="8" t="s">
        <v>17</v>
      </c>
      <c r="C26" s="8" t="s">
        <v>12</v>
      </c>
      <c r="D26" s="27">
        <v>5676.3</v>
      </c>
      <c r="E26" s="27">
        <v>20.260000000000002</v>
      </c>
      <c r="F26" s="28">
        <v>0</v>
      </c>
      <c r="G26" s="28">
        <v>0</v>
      </c>
      <c r="H26" s="28">
        <v>0</v>
      </c>
      <c r="I26" s="28">
        <v>0</v>
      </c>
      <c r="J26" s="29">
        <f>SUM(D26:I26)</f>
        <v>5696.56</v>
      </c>
      <c r="K26" s="8"/>
      <c r="L26" s="8"/>
    </row>
    <row r="27" spans="1:12">
      <c r="A27" s="8"/>
      <c r="B27" s="8"/>
      <c r="C27" s="8"/>
      <c r="D27" s="8"/>
      <c r="E27" s="8"/>
      <c r="F27" s="24"/>
      <c r="G27" s="24"/>
      <c r="H27" s="24"/>
      <c r="I27" s="24"/>
      <c r="J27" s="25"/>
      <c r="K27" s="8"/>
      <c r="L27" s="8"/>
    </row>
    <row r="28" spans="1:12" ht="15.75" thickBot="1">
      <c r="A28" s="8"/>
      <c r="B28" s="8"/>
      <c r="C28" s="8" t="s">
        <v>10</v>
      </c>
      <c r="D28" s="30">
        <f t="shared" ref="D28:I28" si="3">SUM(D26:D27)</f>
        <v>5676.3</v>
      </c>
      <c r="E28" s="30">
        <f t="shared" si="3"/>
        <v>20.260000000000002</v>
      </c>
      <c r="F28" s="30">
        <f t="shared" si="3"/>
        <v>0</v>
      </c>
      <c r="G28" s="30">
        <f t="shared" si="3"/>
        <v>0</v>
      </c>
      <c r="H28" s="30">
        <f t="shared" si="3"/>
        <v>0</v>
      </c>
      <c r="I28" s="30">
        <f t="shared" si="3"/>
        <v>0</v>
      </c>
      <c r="J28" s="31">
        <f>SUM(D28:I28)</f>
        <v>5696.56</v>
      </c>
      <c r="K28" s="8"/>
      <c r="L28" s="8"/>
    </row>
    <row r="29" spans="1:12" ht="15.75" thickTop="1">
      <c r="A29" s="8"/>
      <c r="B29" s="8"/>
      <c r="C29" s="8"/>
      <c r="D29" s="8"/>
      <c r="E29" s="8"/>
      <c r="F29" s="15"/>
      <c r="G29" s="15"/>
      <c r="H29" s="15"/>
      <c r="I29" s="15"/>
      <c r="J29" s="20"/>
      <c r="K29" s="8"/>
      <c r="L29" s="8"/>
    </row>
    <row r="30" spans="1:12">
      <c r="A30" s="8"/>
      <c r="B30" s="8"/>
      <c r="C30" s="8"/>
      <c r="D30" s="8"/>
      <c r="E30" s="8"/>
      <c r="F30" s="15"/>
      <c r="G30" s="8"/>
      <c r="H30" s="8"/>
      <c r="I30" s="8"/>
      <c r="J30" s="20"/>
      <c r="K30" s="8"/>
      <c r="L30" s="8"/>
    </row>
    <row r="31" spans="1:12">
      <c r="A31" s="8"/>
      <c r="B31" s="8"/>
      <c r="C31" s="8"/>
      <c r="D31" s="8"/>
      <c r="E31" s="8"/>
      <c r="F31" s="15"/>
      <c r="G31" s="15"/>
      <c r="H31" s="15"/>
      <c r="I31" s="15"/>
      <c r="J31" s="20"/>
      <c r="K31" s="8"/>
      <c r="L31" s="8"/>
    </row>
    <row r="32" spans="1:12" ht="15.75" thickBot="1">
      <c r="A32" s="8">
        <v>25</v>
      </c>
      <c r="B32" s="8" t="s">
        <v>18</v>
      </c>
      <c r="C32" s="8" t="s">
        <v>12</v>
      </c>
      <c r="D32" s="27">
        <v>22573.61</v>
      </c>
      <c r="E32" s="27">
        <v>323.23</v>
      </c>
      <c r="F32" s="28">
        <v>108.9</v>
      </c>
      <c r="G32" s="28">
        <v>0</v>
      </c>
      <c r="H32" s="28">
        <v>0</v>
      </c>
      <c r="I32" s="28">
        <v>0</v>
      </c>
      <c r="J32" s="29">
        <f>SUM(D32:I32)</f>
        <v>23005.74</v>
      </c>
      <c r="K32" s="8"/>
      <c r="L32" s="8"/>
    </row>
    <row r="33" spans="1:12">
      <c r="A33" s="8"/>
      <c r="B33" s="8"/>
      <c r="C33" s="8"/>
      <c r="D33" s="8"/>
      <c r="E33" s="8"/>
      <c r="F33" s="24"/>
      <c r="G33" s="24"/>
      <c r="H33" s="24"/>
      <c r="I33" s="24"/>
      <c r="J33" s="25"/>
      <c r="K33" s="8"/>
      <c r="L33" s="8"/>
    </row>
    <row r="34" spans="1:12" ht="15.75" thickBot="1">
      <c r="A34" s="8"/>
      <c r="B34" s="8"/>
      <c r="C34" s="8" t="s">
        <v>10</v>
      </c>
      <c r="D34" s="30">
        <f t="shared" ref="D34:I34" si="4">SUM(D32:D33)</f>
        <v>22573.61</v>
      </c>
      <c r="E34" s="30">
        <f t="shared" si="4"/>
        <v>323.23</v>
      </c>
      <c r="F34" s="30">
        <f t="shared" si="4"/>
        <v>108.9</v>
      </c>
      <c r="G34" s="30">
        <f t="shared" si="4"/>
        <v>0</v>
      </c>
      <c r="H34" s="30">
        <f t="shared" si="4"/>
        <v>0</v>
      </c>
      <c r="I34" s="30">
        <f t="shared" si="4"/>
        <v>0</v>
      </c>
      <c r="J34" s="31">
        <f>SUM(D34:I34)</f>
        <v>23005.74</v>
      </c>
      <c r="K34" s="8"/>
      <c r="L34" s="8"/>
    </row>
    <row r="35" spans="1:12" ht="15.75" thickTop="1">
      <c r="A35" s="8"/>
      <c r="B35" s="8"/>
      <c r="C35" s="8"/>
      <c r="D35" s="8"/>
      <c r="E35" s="8"/>
      <c r="F35" s="15"/>
      <c r="G35" s="8"/>
      <c r="H35" s="8"/>
      <c r="I35" s="8"/>
      <c r="J35" s="20"/>
      <c r="K35" s="8"/>
      <c r="L35" s="8"/>
    </row>
    <row r="36" spans="1:12">
      <c r="A36" s="8"/>
      <c r="B36" s="8"/>
      <c r="C36" s="8"/>
      <c r="D36" s="8"/>
      <c r="E36" s="8"/>
      <c r="F36" s="15"/>
      <c r="G36" s="15"/>
      <c r="H36" s="15"/>
      <c r="I36" s="15"/>
      <c r="J36" s="20"/>
      <c r="K36" s="8"/>
      <c r="L36" s="8"/>
    </row>
    <row r="37" spans="1:12">
      <c r="A37" s="8"/>
      <c r="B37" s="8"/>
      <c r="C37" s="8"/>
      <c r="D37" s="8"/>
      <c r="E37" s="8"/>
      <c r="F37" s="15"/>
      <c r="G37" s="15"/>
      <c r="H37" s="15"/>
      <c r="I37" s="15"/>
      <c r="J37" s="20"/>
      <c r="K37" s="8"/>
      <c r="L37" s="8"/>
    </row>
    <row r="38" spans="1:12">
      <c r="A38" s="8">
        <v>26</v>
      </c>
      <c r="B38" s="8" t="s">
        <v>19</v>
      </c>
      <c r="C38" s="8" t="s">
        <v>12</v>
      </c>
      <c r="D38" s="8">
        <v>6152.09</v>
      </c>
      <c r="E38" s="8">
        <v>135.44999999999999</v>
      </c>
      <c r="F38" s="15">
        <v>123.82</v>
      </c>
      <c r="G38" s="15">
        <v>90.31</v>
      </c>
      <c r="H38" s="15">
        <v>0</v>
      </c>
      <c r="I38" s="15">
        <v>0</v>
      </c>
      <c r="J38" s="20">
        <f>SUM(D38:I38)</f>
        <v>6501.67</v>
      </c>
      <c r="K38" s="8"/>
      <c r="L38" s="8"/>
    </row>
    <row r="39" spans="1:12" ht="15.75" thickBot="1">
      <c r="A39" s="8"/>
      <c r="B39" s="8"/>
      <c r="C39" s="8" t="s">
        <v>13</v>
      </c>
      <c r="D39" s="27">
        <v>107.77</v>
      </c>
      <c r="E39" s="27">
        <v>3.1</v>
      </c>
      <c r="F39" s="28">
        <v>3.18</v>
      </c>
      <c r="G39" s="28">
        <v>2.2400000000000002</v>
      </c>
      <c r="H39" s="28">
        <v>0</v>
      </c>
      <c r="I39" s="28">
        <v>0</v>
      </c>
      <c r="J39" s="29">
        <f>SUM(D39:I39)</f>
        <v>116.28999999999999</v>
      </c>
      <c r="K39" s="8"/>
      <c r="L39" s="8"/>
    </row>
    <row r="40" spans="1:12">
      <c r="A40" s="8"/>
      <c r="B40" s="8"/>
      <c r="C40" s="8"/>
      <c r="D40" s="8"/>
      <c r="E40" s="8"/>
      <c r="F40" s="15"/>
      <c r="G40" s="15"/>
      <c r="H40" s="15"/>
      <c r="I40" s="15"/>
      <c r="J40" s="20"/>
      <c r="K40" s="8"/>
      <c r="L40" s="8"/>
    </row>
    <row r="41" spans="1:12" ht="15.75" thickBot="1">
      <c r="A41" s="8"/>
      <c r="B41" s="8"/>
      <c r="C41" s="8" t="s">
        <v>10</v>
      </c>
      <c r="D41" s="30">
        <f t="shared" ref="D41:I41" si="5">SUM(D38:D39)</f>
        <v>6259.8600000000006</v>
      </c>
      <c r="E41" s="30">
        <f t="shared" si="5"/>
        <v>138.54999999999998</v>
      </c>
      <c r="F41" s="30">
        <f t="shared" si="5"/>
        <v>127</v>
      </c>
      <c r="G41" s="30">
        <f t="shared" si="5"/>
        <v>92.55</v>
      </c>
      <c r="H41" s="30">
        <f t="shared" si="5"/>
        <v>0</v>
      </c>
      <c r="I41" s="30">
        <f t="shared" si="5"/>
        <v>0</v>
      </c>
      <c r="J41" s="31">
        <f>SUM(D41:I41)</f>
        <v>6617.9600000000009</v>
      </c>
      <c r="K41" s="8"/>
      <c r="L41" s="8"/>
    </row>
    <row r="42" spans="1:12" ht="15.75" thickTop="1">
      <c r="A42" s="8"/>
      <c r="B42" s="8"/>
      <c r="C42" s="8"/>
      <c r="D42" s="8"/>
      <c r="E42" s="8"/>
      <c r="F42" s="15"/>
      <c r="G42" s="15"/>
      <c r="H42" s="15"/>
      <c r="I42" s="15"/>
      <c r="J42" s="20"/>
      <c r="K42" s="8"/>
      <c r="L42" s="8"/>
    </row>
    <row r="43" spans="1:12">
      <c r="A43" s="8"/>
      <c r="B43" s="8"/>
      <c r="C43" s="8"/>
      <c r="D43" s="8"/>
      <c r="E43" s="8"/>
      <c r="F43" s="15"/>
      <c r="G43" s="15"/>
      <c r="H43" s="15"/>
      <c r="I43" s="15"/>
      <c r="J43" s="20"/>
      <c r="K43" s="8"/>
      <c r="L43" s="8"/>
    </row>
    <row r="44" spans="1:12" ht="15.75" thickBot="1">
      <c r="A44" s="8">
        <v>27</v>
      </c>
      <c r="B44" s="8" t="s">
        <v>20</v>
      </c>
      <c r="C44" s="8" t="s">
        <v>12</v>
      </c>
      <c r="D44" s="27">
        <v>6789.09</v>
      </c>
      <c r="E44" s="27">
        <v>86.96</v>
      </c>
      <c r="F44" s="28">
        <v>88.03</v>
      </c>
      <c r="G44" s="28">
        <v>0</v>
      </c>
      <c r="H44" s="28">
        <v>0</v>
      </c>
      <c r="I44" s="28">
        <v>0</v>
      </c>
      <c r="J44" s="29">
        <f>SUM(D44:I44)</f>
        <v>6964.08</v>
      </c>
      <c r="K44" s="8"/>
      <c r="L44" s="8"/>
    </row>
    <row r="45" spans="1:12">
      <c r="A45" s="8"/>
      <c r="B45" s="8"/>
      <c r="C45" s="8"/>
      <c r="D45" s="8"/>
      <c r="E45" s="8"/>
      <c r="F45" s="24"/>
      <c r="G45" s="24"/>
      <c r="H45" s="24"/>
      <c r="I45" s="24"/>
      <c r="J45" s="25"/>
      <c r="K45" s="8"/>
      <c r="L45" s="8"/>
    </row>
    <row r="46" spans="1:12" ht="15.75" thickBot="1">
      <c r="A46" s="8"/>
      <c r="B46" s="8"/>
      <c r="C46" s="8" t="s">
        <v>10</v>
      </c>
      <c r="D46" s="30">
        <f t="shared" ref="D46:I46" si="6">SUM(D44:D45)</f>
        <v>6789.09</v>
      </c>
      <c r="E46" s="30">
        <f t="shared" si="6"/>
        <v>86.96</v>
      </c>
      <c r="F46" s="30">
        <f t="shared" si="6"/>
        <v>88.03</v>
      </c>
      <c r="G46" s="30">
        <f t="shared" si="6"/>
        <v>0</v>
      </c>
      <c r="H46" s="30">
        <f t="shared" si="6"/>
        <v>0</v>
      </c>
      <c r="I46" s="30">
        <f t="shared" si="6"/>
        <v>0</v>
      </c>
      <c r="J46" s="31">
        <f>SUM(D46:I46)</f>
        <v>6964.08</v>
      </c>
      <c r="K46" s="8"/>
      <c r="L46" s="8"/>
    </row>
    <row r="47" spans="1:12" ht="15.75" thickTop="1">
      <c r="A47" s="8"/>
      <c r="B47" s="8"/>
      <c r="C47" s="8"/>
      <c r="D47" s="8"/>
      <c r="E47" s="8"/>
      <c r="F47" s="15"/>
      <c r="G47" s="8"/>
      <c r="H47" s="8"/>
      <c r="I47" s="8"/>
      <c r="J47" s="20"/>
      <c r="K47" s="8"/>
      <c r="L47" s="8"/>
    </row>
    <row r="48" spans="1:12">
      <c r="A48" s="8"/>
      <c r="B48" s="8"/>
      <c r="C48" s="8"/>
      <c r="D48" s="8"/>
      <c r="E48" s="8"/>
      <c r="F48" s="15"/>
      <c r="G48" s="8"/>
      <c r="H48" s="8"/>
      <c r="I48" s="8"/>
      <c r="J48" s="20"/>
      <c r="K48" s="8"/>
      <c r="L48" s="8"/>
    </row>
    <row r="49" spans="1:12">
      <c r="A49" s="8"/>
      <c r="B49" s="8"/>
      <c r="C49" s="8"/>
      <c r="D49" s="8"/>
      <c r="E49" s="8"/>
      <c r="F49" s="15"/>
      <c r="G49" s="15"/>
      <c r="H49" s="15"/>
      <c r="I49" s="15"/>
      <c r="J49" s="20"/>
      <c r="K49" s="8"/>
      <c r="L49" s="8"/>
    </row>
    <row r="50" spans="1:12">
      <c r="A50" s="8"/>
      <c r="B50" s="8"/>
      <c r="C50" s="8"/>
      <c r="D50" s="8"/>
      <c r="E50" s="8"/>
      <c r="F50" s="15"/>
      <c r="G50" s="15"/>
      <c r="H50" s="15"/>
      <c r="I50" s="15"/>
      <c r="J50" s="20"/>
      <c r="K50" s="8"/>
      <c r="L50" s="8"/>
    </row>
    <row r="51" spans="1:12">
      <c r="A51" s="8">
        <v>28</v>
      </c>
      <c r="B51" s="8" t="s">
        <v>21</v>
      </c>
      <c r="C51" s="8" t="s">
        <v>12</v>
      </c>
      <c r="D51" s="8">
        <v>5617.03</v>
      </c>
      <c r="E51" s="8">
        <v>292.10000000000002</v>
      </c>
      <c r="F51" s="15">
        <v>0</v>
      </c>
      <c r="G51" s="15">
        <v>0</v>
      </c>
      <c r="H51" s="15">
        <v>0</v>
      </c>
      <c r="I51" s="15">
        <v>0</v>
      </c>
      <c r="J51" s="20">
        <f>SUM(D51:I51)</f>
        <v>5909.13</v>
      </c>
      <c r="K51" s="8"/>
      <c r="L51" s="8"/>
    </row>
    <row r="52" spans="1:12" ht="15.75" thickBot="1">
      <c r="A52" s="8"/>
      <c r="B52" s="8"/>
      <c r="C52" s="8" t="s">
        <v>13</v>
      </c>
      <c r="D52" s="27">
        <v>181.86</v>
      </c>
      <c r="E52" s="27">
        <v>9.6999999999999993</v>
      </c>
      <c r="F52" s="28">
        <v>0</v>
      </c>
      <c r="G52" s="28">
        <v>0</v>
      </c>
      <c r="H52" s="28">
        <v>0</v>
      </c>
      <c r="I52" s="28">
        <v>0</v>
      </c>
      <c r="J52" s="29">
        <f>SUM(D52:I52)</f>
        <v>191.56</v>
      </c>
      <c r="K52" s="8"/>
      <c r="L52" s="8"/>
    </row>
    <row r="53" spans="1:12">
      <c r="A53" s="8"/>
      <c r="B53" s="8"/>
      <c r="C53" s="8"/>
      <c r="D53" s="8"/>
      <c r="E53" s="8"/>
      <c r="F53" s="15"/>
      <c r="G53" s="15"/>
      <c r="H53" s="15"/>
      <c r="I53" s="15"/>
      <c r="J53" s="20"/>
      <c r="K53" s="8"/>
      <c r="L53" s="8"/>
    </row>
    <row r="54" spans="1:12" ht="15.75" thickBot="1">
      <c r="A54" s="8"/>
      <c r="B54" s="8"/>
      <c r="C54" s="8" t="s">
        <v>10</v>
      </c>
      <c r="D54" s="30">
        <f t="shared" ref="D54:I54" si="7">SUM(D51:D52)</f>
        <v>5798.8899999999994</v>
      </c>
      <c r="E54" s="30">
        <f t="shared" si="7"/>
        <v>301.8</v>
      </c>
      <c r="F54" s="30">
        <f t="shared" si="7"/>
        <v>0</v>
      </c>
      <c r="G54" s="30">
        <f t="shared" si="7"/>
        <v>0</v>
      </c>
      <c r="H54" s="30">
        <f t="shared" si="7"/>
        <v>0</v>
      </c>
      <c r="I54" s="30">
        <f t="shared" si="7"/>
        <v>0</v>
      </c>
      <c r="J54" s="31">
        <f>SUM(D54:I54)</f>
        <v>6100.69</v>
      </c>
      <c r="K54" s="8"/>
      <c r="L54" s="8"/>
    </row>
    <row r="55" spans="1:12" ht="15.75" thickTop="1">
      <c r="A55" s="8"/>
      <c r="B55" s="8"/>
      <c r="C55" s="8"/>
      <c r="D55" s="8"/>
      <c r="E55" s="8"/>
      <c r="F55" s="15"/>
      <c r="G55" s="15"/>
      <c r="H55" s="15"/>
      <c r="I55" s="15"/>
      <c r="J55" s="20"/>
      <c r="K55" s="8"/>
      <c r="L55" s="8"/>
    </row>
    <row r="56" spans="1:12">
      <c r="A56" s="8"/>
      <c r="B56" s="8"/>
      <c r="C56" s="8"/>
      <c r="D56" s="8"/>
      <c r="E56" s="8"/>
      <c r="F56" s="15"/>
      <c r="G56" s="15"/>
      <c r="H56" s="15"/>
      <c r="I56" s="15"/>
      <c r="J56" s="20"/>
      <c r="K56" s="8"/>
      <c r="L56" s="8"/>
    </row>
    <row r="57" spans="1:12">
      <c r="A57" s="8">
        <v>29</v>
      </c>
      <c r="B57" s="8" t="s">
        <v>22</v>
      </c>
      <c r="C57" s="8" t="s">
        <v>12</v>
      </c>
      <c r="D57" s="8">
        <v>11230.86</v>
      </c>
      <c r="E57" s="8">
        <v>0</v>
      </c>
      <c r="F57" s="15">
        <v>0</v>
      </c>
      <c r="G57" s="15">
        <v>0</v>
      </c>
      <c r="H57" s="15">
        <v>0</v>
      </c>
      <c r="I57" s="15">
        <v>0</v>
      </c>
      <c r="J57" s="20">
        <f>SUM(D57:I57)</f>
        <v>11230.86</v>
      </c>
      <c r="K57" s="8"/>
      <c r="L57" s="8"/>
    </row>
    <row r="58" spans="1:12">
      <c r="A58" s="8"/>
      <c r="B58" s="8"/>
      <c r="C58" s="8" t="s">
        <v>35</v>
      </c>
      <c r="D58" s="8">
        <v>581.30999999999995</v>
      </c>
      <c r="E58" s="8">
        <v>0</v>
      </c>
      <c r="F58" s="15">
        <v>0</v>
      </c>
      <c r="G58" s="15">
        <v>0</v>
      </c>
      <c r="H58" s="15">
        <v>0</v>
      </c>
      <c r="I58" s="15">
        <v>0</v>
      </c>
      <c r="J58" s="20">
        <f>SUM(D58:I58)</f>
        <v>581.30999999999995</v>
      </c>
      <c r="K58" s="8"/>
      <c r="L58" s="8"/>
    </row>
    <row r="59" spans="1:12">
      <c r="A59" s="8"/>
      <c r="B59" s="8"/>
      <c r="C59" s="8" t="s">
        <v>13</v>
      </c>
      <c r="D59" s="8">
        <v>837.09</v>
      </c>
      <c r="E59" s="8">
        <v>0</v>
      </c>
      <c r="F59" s="15">
        <v>0</v>
      </c>
      <c r="G59" s="15">
        <v>0</v>
      </c>
      <c r="H59" s="15">
        <v>0</v>
      </c>
      <c r="I59" s="15">
        <v>0</v>
      </c>
      <c r="J59" s="20">
        <f>SUM(D59:I59)</f>
        <v>837.09</v>
      </c>
      <c r="K59" s="8"/>
      <c r="L59" s="8"/>
    </row>
    <row r="60" spans="1:12" ht="15.75" thickBot="1">
      <c r="A60" s="8"/>
      <c r="B60" s="8"/>
      <c r="C60" s="8" t="s">
        <v>78</v>
      </c>
      <c r="D60" s="27">
        <v>1453.37</v>
      </c>
      <c r="E60" s="27">
        <v>0</v>
      </c>
      <c r="F60" s="28">
        <v>0</v>
      </c>
      <c r="G60" s="28">
        <v>0</v>
      </c>
      <c r="H60" s="28">
        <v>0</v>
      </c>
      <c r="I60" s="28">
        <v>0</v>
      </c>
      <c r="J60" s="29">
        <f>SUM(D60:I60)</f>
        <v>1453.37</v>
      </c>
      <c r="K60" s="8"/>
      <c r="L60" s="8"/>
    </row>
    <row r="61" spans="1:12">
      <c r="A61" s="8"/>
      <c r="B61" s="8"/>
      <c r="C61" s="8"/>
      <c r="D61" s="8"/>
      <c r="E61" s="8"/>
      <c r="F61" s="15"/>
      <c r="G61" s="15"/>
      <c r="H61" s="15"/>
      <c r="I61" s="15"/>
      <c r="J61" s="20"/>
      <c r="K61" s="8"/>
      <c r="L61" s="8"/>
    </row>
    <row r="62" spans="1:12" ht="15.75" thickBot="1">
      <c r="A62" s="8"/>
      <c r="B62" s="8"/>
      <c r="C62" s="8" t="s">
        <v>10</v>
      </c>
      <c r="D62" s="30">
        <f t="shared" ref="D62:I62" si="8">SUM(D57:D60)</f>
        <v>14102.630000000001</v>
      </c>
      <c r="E62" s="30">
        <f t="shared" si="8"/>
        <v>0</v>
      </c>
      <c r="F62" s="30">
        <f t="shared" si="8"/>
        <v>0</v>
      </c>
      <c r="G62" s="30">
        <f t="shared" si="8"/>
        <v>0</v>
      </c>
      <c r="H62" s="30">
        <f t="shared" si="8"/>
        <v>0</v>
      </c>
      <c r="I62" s="30">
        <f t="shared" si="8"/>
        <v>0</v>
      </c>
      <c r="J62" s="31">
        <f>SUM(D62:I62)</f>
        <v>14102.630000000001</v>
      </c>
      <c r="K62" s="8"/>
      <c r="L62" s="8"/>
    </row>
    <row r="63" spans="1:12" ht="15.75" thickTop="1">
      <c r="A63" s="8"/>
      <c r="B63" s="8"/>
      <c r="C63" s="8"/>
      <c r="D63" s="8"/>
      <c r="E63" s="8"/>
      <c r="F63" s="15"/>
      <c r="G63" s="15"/>
      <c r="H63" s="15"/>
      <c r="I63" s="15"/>
      <c r="J63" s="20"/>
      <c r="K63" s="8"/>
      <c r="L63" s="8"/>
    </row>
    <row r="64" spans="1:12">
      <c r="A64" s="8">
        <v>30</v>
      </c>
      <c r="B64" s="8" t="s">
        <v>23</v>
      </c>
      <c r="C64" s="8" t="s">
        <v>12</v>
      </c>
      <c r="D64" s="8">
        <v>5613.39</v>
      </c>
      <c r="E64" s="8">
        <v>155.13</v>
      </c>
      <c r="F64" s="15">
        <v>16.02</v>
      </c>
      <c r="G64" s="15">
        <v>14.58</v>
      </c>
      <c r="H64" s="15">
        <v>14.58</v>
      </c>
      <c r="I64" s="15">
        <v>0</v>
      </c>
      <c r="J64" s="20">
        <f>SUM(D64:I64)</f>
        <v>5813.7000000000007</v>
      </c>
      <c r="K64" s="8"/>
      <c r="L64" s="8"/>
    </row>
    <row r="65" spans="1:12" ht="15.75" thickBot="1">
      <c r="A65" s="8"/>
      <c r="B65" s="8"/>
      <c r="C65" s="8" t="s">
        <v>13</v>
      </c>
      <c r="D65" s="27"/>
      <c r="E65" s="27"/>
      <c r="F65" s="28"/>
      <c r="G65" s="28"/>
      <c r="H65" s="28"/>
      <c r="I65" s="28"/>
      <c r="J65" s="29"/>
      <c r="K65" s="8"/>
      <c r="L65" s="8"/>
    </row>
    <row r="66" spans="1:12">
      <c r="A66" s="8"/>
      <c r="B66" s="8"/>
      <c r="C66" s="8"/>
      <c r="D66" s="8"/>
      <c r="E66" s="8"/>
      <c r="F66" s="15"/>
      <c r="G66" s="15"/>
      <c r="H66" s="15"/>
      <c r="I66" s="15"/>
      <c r="J66" s="20"/>
      <c r="K66" s="8"/>
      <c r="L66" s="8"/>
    </row>
    <row r="67" spans="1:12" ht="15.75" thickBot="1">
      <c r="A67" s="8"/>
      <c r="B67" s="8"/>
      <c r="C67" s="15" t="s">
        <v>10</v>
      </c>
      <c r="D67" s="30">
        <f t="shared" ref="D67:I67" si="9">SUM(D64:D65)</f>
        <v>5613.39</v>
      </c>
      <c r="E67" s="30">
        <f t="shared" si="9"/>
        <v>155.13</v>
      </c>
      <c r="F67" s="30">
        <f t="shared" si="9"/>
        <v>16.02</v>
      </c>
      <c r="G67" s="30">
        <f t="shared" si="9"/>
        <v>14.58</v>
      </c>
      <c r="H67" s="30">
        <f t="shared" si="9"/>
        <v>14.58</v>
      </c>
      <c r="I67" s="30">
        <f t="shared" si="9"/>
        <v>0</v>
      </c>
      <c r="J67" s="31">
        <f>SUM(D67:I67)</f>
        <v>5813.7000000000007</v>
      </c>
      <c r="K67" s="8"/>
      <c r="L67" s="8"/>
    </row>
    <row r="68" spans="1:12" ht="15.75" thickTop="1">
      <c r="A68" s="8"/>
      <c r="B68" s="8"/>
      <c r="C68" s="8"/>
      <c r="D68" s="8"/>
      <c r="E68" s="8"/>
      <c r="F68" s="15"/>
      <c r="G68" s="15"/>
      <c r="H68" s="15"/>
      <c r="I68" s="15"/>
      <c r="J68" s="20"/>
      <c r="K68" s="8"/>
      <c r="L68" s="8"/>
    </row>
    <row r="69" spans="1:12">
      <c r="A69" s="8"/>
      <c r="B69" s="8"/>
      <c r="C69" s="8"/>
      <c r="D69" s="8"/>
      <c r="E69" s="8"/>
      <c r="F69" s="15"/>
      <c r="G69" s="15"/>
      <c r="H69" s="15"/>
      <c r="I69" s="15"/>
      <c r="J69" s="20"/>
      <c r="K69" s="8"/>
      <c r="L69" s="8"/>
    </row>
    <row r="70" spans="1:12">
      <c r="A70" s="8">
        <v>31</v>
      </c>
      <c r="B70" s="8" t="s">
        <v>24</v>
      </c>
      <c r="C70" s="8" t="s">
        <v>12</v>
      </c>
      <c r="D70" s="8">
        <v>1839.46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20">
        <f>SUM(D70:I70)</f>
        <v>1839.46</v>
      </c>
      <c r="K70" s="8"/>
      <c r="L70" s="8"/>
    </row>
    <row r="71" spans="1:12" ht="15.75" thickBot="1">
      <c r="A71" s="8"/>
      <c r="B71" s="8"/>
      <c r="C71" s="8" t="s">
        <v>13</v>
      </c>
      <c r="D71" s="27">
        <v>67.680000000000007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9">
        <f>SUM(D71:I71)</f>
        <v>67.680000000000007</v>
      </c>
      <c r="K71" s="8"/>
      <c r="L71" s="8"/>
    </row>
    <row r="72" spans="1:12">
      <c r="A72" s="8"/>
      <c r="B72" s="8"/>
      <c r="C72" s="8"/>
      <c r="D72" s="8"/>
      <c r="E72" s="8"/>
      <c r="F72" s="15"/>
      <c r="G72" s="15"/>
      <c r="H72" s="15"/>
      <c r="I72" s="15"/>
      <c r="J72" s="20"/>
      <c r="K72" s="8"/>
      <c r="L72" s="8"/>
    </row>
    <row r="73" spans="1:12" ht="15.75" thickBot="1">
      <c r="A73" s="8"/>
      <c r="B73" s="8"/>
      <c r="C73" s="8" t="s">
        <v>10</v>
      </c>
      <c r="D73" s="30">
        <f t="shared" ref="D73:I73" si="10">SUM(D70:D71)</f>
        <v>1907.14</v>
      </c>
      <c r="E73" s="30">
        <f t="shared" si="10"/>
        <v>0</v>
      </c>
      <c r="F73" s="30">
        <f t="shared" si="10"/>
        <v>0</v>
      </c>
      <c r="G73" s="30">
        <f t="shared" si="10"/>
        <v>0</v>
      </c>
      <c r="H73" s="30">
        <f t="shared" si="10"/>
        <v>0</v>
      </c>
      <c r="I73" s="30">
        <f t="shared" si="10"/>
        <v>0</v>
      </c>
      <c r="J73" s="31">
        <f>SUM(D73:I73)</f>
        <v>1907.14</v>
      </c>
      <c r="K73" s="8"/>
      <c r="L73" s="8"/>
    </row>
    <row r="74" spans="1:12" ht="15.75" thickTop="1">
      <c r="A74" s="8"/>
      <c r="B74" s="8"/>
      <c r="C74" s="8"/>
      <c r="D74" s="8"/>
      <c r="E74" s="8"/>
      <c r="F74" s="15"/>
      <c r="G74" s="15"/>
      <c r="H74" s="15"/>
      <c r="I74" s="15"/>
      <c r="J74" s="20"/>
      <c r="K74" s="8"/>
      <c r="L74" s="8"/>
    </row>
    <row r="75" spans="1:12">
      <c r="A75" s="8"/>
      <c r="B75" s="8"/>
      <c r="C75" s="8"/>
      <c r="D75" s="8"/>
      <c r="E75" s="8"/>
      <c r="F75" s="15"/>
      <c r="G75" s="15"/>
      <c r="H75" s="15"/>
      <c r="I75" s="15"/>
      <c r="J75" s="20"/>
      <c r="K75" s="8"/>
      <c r="L75" s="8"/>
    </row>
    <row r="76" spans="1:12">
      <c r="A76" s="8">
        <v>32</v>
      </c>
      <c r="B76" s="8" t="s">
        <v>25</v>
      </c>
      <c r="C76" s="8" t="s">
        <v>12</v>
      </c>
      <c r="D76" s="8">
        <v>12873.38</v>
      </c>
      <c r="E76" s="8">
        <v>401.19</v>
      </c>
      <c r="F76" s="15">
        <v>387.14</v>
      </c>
      <c r="G76" s="15">
        <v>213.01</v>
      </c>
      <c r="H76" s="15">
        <v>4.54</v>
      </c>
      <c r="I76" s="15">
        <v>0</v>
      </c>
      <c r="J76" s="20">
        <f>SUM(D76:I76)</f>
        <v>13879.26</v>
      </c>
      <c r="K76" s="8"/>
      <c r="L76" s="8"/>
    </row>
    <row r="77" spans="1:12">
      <c r="A77" s="8"/>
      <c r="B77" s="8"/>
      <c r="C77" s="8" t="s">
        <v>13</v>
      </c>
      <c r="D77" s="8">
        <v>286.17</v>
      </c>
      <c r="E77" s="8">
        <v>8.9499999999999993</v>
      </c>
      <c r="F77" s="15">
        <v>9.23</v>
      </c>
      <c r="G77" s="15">
        <v>5.5</v>
      </c>
      <c r="H77" s="15">
        <v>0.28999999999999998</v>
      </c>
      <c r="I77" s="15">
        <v>0</v>
      </c>
      <c r="J77" s="20">
        <f>SUM(D77:I77)</f>
        <v>310.14000000000004</v>
      </c>
      <c r="K77" s="8"/>
      <c r="L77" s="8"/>
    </row>
    <row r="78" spans="1:12">
      <c r="A78" s="8"/>
      <c r="B78" s="8"/>
      <c r="C78" s="8" t="s">
        <v>73</v>
      </c>
      <c r="D78" s="26">
        <v>0</v>
      </c>
      <c r="E78" s="26">
        <v>0</v>
      </c>
      <c r="F78" s="26">
        <v>0</v>
      </c>
      <c r="G78" s="8">
        <v>0</v>
      </c>
      <c r="H78" s="26">
        <v>0.62</v>
      </c>
      <c r="I78" s="8">
        <v>0</v>
      </c>
      <c r="J78" s="20">
        <f>SUM(D78:I78)</f>
        <v>0.62</v>
      </c>
      <c r="K78" s="8"/>
      <c r="L78" s="8"/>
    </row>
    <row r="79" spans="1:12" ht="15.75" thickBot="1">
      <c r="A79" s="8"/>
      <c r="B79" s="8"/>
      <c r="C79" s="8" t="s">
        <v>78</v>
      </c>
      <c r="D79" s="33">
        <v>0</v>
      </c>
      <c r="E79" s="33">
        <v>0</v>
      </c>
      <c r="F79" s="33">
        <v>0</v>
      </c>
      <c r="G79" s="27">
        <v>0</v>
      </c>
      <c r="H79" s="27">
        <v>0.93</v>
      </c>
      <c r="I79" s="27">
        <v>0</v>
      </c>
      <c r="J79" s="29">
        <f>SUM(D79:I79)</f>
        <v>0.93</v>
      </c>
      <c r="K79" s="8"/>
      <c r="L79" s="8"/>
    </row>
    <row r="80" spans="1:12">
      <c r="A80" s="8"/>
      <c r="B80" s="8"/>
      <c r="C80" s="8"/>
      <c r="D80" s="8"/>
      <c r="E80" s="8"/>
      <c r="F80" s="15"/>
      <c r="G80" s="8"/>
      <c r="H80" s="8"/>
      <c r="I80" s="8"/>
      <c r="J80" s="20"/>
      <c r="K80" s="8"/>
      <c r="L80" s="8"/>
    </row>
    <row r="81" spans="1:12" ht="15.75" thickBot="1">
      <c r="A81" s="8"/>
      <c r="B81" s="8"/>
      <c r="C81" s="8" t="s">
        <v>10</v>
      </c>
      <c r="D81" s="30">
        <f t="shared" ref="D81:I81" si="11">SUM(D76:D79)</f>
        <v>13159.55</v>
      </c>
      <c r="E81" s="30">
        <f t="shared" si="11"/>
        <v>410.14</v>
      </c>
      <c r="F81" s="30">
        <f t="shared" si="11"/>
        <v>396.37</v>
      </c>
      <c r="G81" s="30">
        <f t="shared" si="11"/>
        <v>218.51</v>
      </c>
      <c r="H81" s="30">
        <f t="shared" si="11"/>
        <v>6.38</v>
      </c>
      <c r="I81" s="30">
        <f t="shared" si="11"/>
        <v>0</v>
      </c>
      <c r="J81" s="31">
        <f>SUM(D81:I81)</f>
        <v>14190.949999999999</v>
      </c>
      <c r="K81" s="8"/>
      <c r="L81" s="8"/>
    </row>
    <row r="82" spans="1:12" ht="15.75" thickTop="1">
      <c r="A82" s="8"/>
      <c r="B82" s="8"/>
      <c r="C82" s="8"/>
      <c r="D82" s="8"/>
      <c r="E82" s="8"/>
      <c r="F82" s="15"/>
      <c r="G82" s="15"/>
      <c r="H82" s="15"/>
      <c r="I82" s="15"/>
      <c r="J82" s="20"/>
      <c r="K82" s="8"/>
      <c r="L82" s="8"/>
    </row>
    <row r="83" spans="1:12">
      <c r="A83" s="8"/>
      <c r="B83" s="8"/>
      <c r="C83" s="8"/>
      <c r="D83" s="8"/>
      <c r="E83" s="8"/>
      <c r="F83" s="15"/>
      <c r="G83" s="15"/>
      <c r="H83" s="15"/>
      <c r="I83" s="15"/>
      <c r="J83" s="20"/>
      <c r="K83" s="8"/>
      <c r="L83" s="8"/>
    </row>
    <row r="84" spans="1:12">
      <c r="A84" s="8">
        <v>33</v>
      </c>
      <c r="B84" s="8" t="s">
        <v>26</v>
      </c>
      <c r="C84" s="8" t="s">
        <v>12</v>
      </c>
      <c r="D84" s="8">
        <v>6280.86</v>
      </c>
      <c r="E84" s="8">
        <v>435.72</v>
      </c>
      <c r="F84" s="15">
        <v>132.69</v>
      </c>
      <c r="G84" s="15">
        <v>0</v>
      </c>
      <c r="H84" s="15">
        <v>0</v>
      </c>
      <c r="I84" s="15">
        <v>0</v>
      </c>
      <c r="J84" s="20">
        <f>SUM(D84:I84)</f>
        <v>6849.2699999999995</v>
      </c>
      <c r="K84" s="8"/>
      <c r="L84" s="8"/>
    </row>
    <row r="85" spans="1:12" ht="15.75" thickBot="1">
      <c r="A85" s="8"/>
      <c r="B85" s="8"/>
      <c r="C85" s="8" t="s">
        <v>13</v>
      </c>
      <c r="D85" s="27">
        <v>99.9</v>
      </c>
      <c r="E85" s="27">
        <v>6.8</v>
      </c>
      <c r="F85" s="28">
        <v>1.8</v>
      </c>
      <c r="G85" s="28">
        <v>0</v>
      </c>
      <c r="H85" s="28">
        <v>0</v>
      </c>
      <c r="I85" s="28">
        <v>0</v>
      </c>
      <c r="J85" s="29">
        <f>SUM(D85:I85)</f>
        <v>108.5</v>
      </c>
      <c r="K85" s="8"/>
      <c r="L85" s="8"/>
    </row>
    <row r="86" spans="1:12">
      <c r="A86" s="8"/>
      <c r="B86" s="8"/>
      <c r="C86" s="8"/>
      <c r="D86" s="8"/>
      <c r="E86" s="8"/>
      <c r="F86" s="15"/>
      <c r="G86" s="15"/>
      <c r="H86" s="15"/>
      <c r="I86" s="15"/>
      <c r="J86" s="20"/>
      <c r="K86" s="8"/>
      <c r="L86" s="8"/>
    </row>
    <row r="87" spans="1:12" ht="15.75" thickBot="1">
      <c r="A87" s="8"/>
      <c r="B87" s="8"/>
      <c r="C87" s="8" t="s">
        <v>10</v>
      </c>
      <c r="D87" s="30">
        <f t="shared" ref="D87:I87" si="12">SUM(D84:D85)</f>
        <v>6380.7599999999993</v>
      </c>
      <c r="E87" s="30">
        <f t="shared" si="12"/>
        <v>442.52000000000004</v>
      </c>
      <c r="F87" s="30">
        <f t="shared" si="12"/>
        <v>134.49</v>
      </c>
      <c r="G87" s="30">
        <f t="shared" si="12"/>
        <v>0</v>
      </c>
      <c r="H87" s="30">
        <f t="shared" si="12"/>
        <v>0</v>
      </c>
      <c r="I87" s="30">
        <f t="shared" si="12"/>
        <v>0</v>
      </c>
      <c r="J87" s="31">
        <f>SUM(D87:I87)</f>
        <v>6957.7699999999995</v>
      </c>
      <c r="K87" s="8"/>
      <c r="L87" s="8"/>
    </row>
    <row r="88" spans="1:12" ht="15.75" thickTop="1">
      <c r="A88" s="8"/>
      <c r="B88" s="8"/>
      <c r="C88" s="8"/>
      <c r="D88" s="8"/>
      <c r="E88" s="8"/>
      <c r="F88" s="15"/>
      <c r="G88" s="15"/>
      <c r="H88" s="15"/>
      <c r="I88" s="15"/>
      <c r="J88" s="20"/>
      <c r="K88" s="8"/>
      <c r="L88" s="8"/>
    </row>
    <row r="89" spans="1:12">
      <c r="A89" s="8"/>
      <c r="B89" s="8"/>
      <c r="C89" s="8"/>
      <c r="D89" s="8"/>
      <c r="E89" s="8"/>
      <c r="F89" s="15"/>
      <c r="G89" s="15"/>
      <c r="H89" s="15"/>
      <c r="I89" s="15"/>
      <c r="J89" s="20"/>
      <c r="K89" s="8"/>
      <c r="L89" s="8"/>
    </row>
    <row r="90" spans="1:12">
      <c r="A90" s="8">
        <v>34</v>
      </c>
      <c r="B90" s="8" t="s">
        <v>27</v>
      </c>
      <c r="C90" s="8" t="s">
        <v>12</v>
      </c>
      <c r="D90" s="8">
        <v>5917.37</v>
      </c>
      <c r="E90" s="8">
        <v>625.4</v>
      </c>
      <c r="F90" s="15">
        <v>146.41</v>
      </c>
      <c r="G90" s="15">
        <v>142.08000000000001</v>
      </c>
      <c r="H90" s="15">
        <v>0</v>
      </c>
      <c r="I90" s="15">
        <v>0</v>
      </c>
      <c r="J90" s="20">
        <f>SUM(D90:I90)</f>
        <v>6831.2599999999993</v>
      </c>
      <c r="K90" s="8"/>
      <c r="L90" s="8"/>
    </row>
    <row r="91" spans="1:12">
      <c r="A91" s="8"/>
      <c r="B91" s="8"/>
      <c r="C91" s="8" t="s">
        <v>13</v>
      </c>
      <c r="D91" s="8">
        <v>473.47</v>
      </c>
      <c r="E91" s="8">
        <v>50.4</v>
      </c>
      <c r="F91" s="15">
        <v>11.82</v>
      </c>
      <c r="G91" s="15">
        <v>12.55</v>
      </c>
      <c r="H91" s="15">
        <v>0</v>
      </c>
      <c r="I91" s="15">
        <v>0</v>
      </c>
      <c r="J91" s="20">
        <f>SUM(D91:I91)</f>
        <v>548.24</v>
      </c>
      <c r="K91" s="8"/>
      <c r="L91" s="8"/>
    </row>
    <row r="92" spans="1:12" ht="15.75" thickBot="1">
      <c r="A92" s="8"/>
      <c r="B92" s="8"/>
      <c r="C92" s="8" t="s">
        <v>78</v>
      </c>
      <c r="D92" s="27">
        <v>943.48</v>
      </c>
      <c r="E92" s="27">
        <v>104.08</v>
      </c>
      <c r="F92" s="28">
        <v>23.62</v>
      </c>
      <c r="G92" s="28">
        <v>23.83</v>
      </c>
      <c r="H92" s="28">
        <v>0</v>
      </c>
      <c r="I92" s="28">
        <v>0</v>
      </c>
      <c r="J92" s="29">
        <f>SUM(D92:I92)</f>
        <v>1095.0099999999998</v>
      </c>
      <c r="K92" s="8"/>
      <c r="L92" s="8"/>
    </row>
    <row r="93" spans="1:12">
      <c r="A93" s="8"/>
      <c r="B93" s="8"/>
      <c r="C93" s="8"/>
      <c r="D93" s="8"/>
      <c r="E93" s="8"/>
      <c r="F93" s="15"/>
      <c r="G93" s="15"/>
      <c r="H93" s="15"/>
      <c r="I93" s="15"/>
      <c r="J93" s="20"/>
      <c r="K93" s="8"/>
      <c r="L93" s="8"/>
    </row>
    <row r="94" spans="1:12" ht="15.75" thickBot="1">
      <c r="A94" s="8"/>
      <c r="B94" s="8"/>
      <c r="C94" s="8" t="s">
        <v>10</v>
      </c>
      <c r="D94" s="30">
        <f t="shared" ref="D94:I94" si="13">SUM(D90:D93)</f>
        <v>7334.32</v>
      </c>
      <c r="E94" s="30">
        <f t="shared" si="13"/>
        <v>779.88</v>
      </c>
      <c r="F94" s="30">
        <f t="shared" si="13"/>
        <v>181.85</v>
      </c>
      <c r="G94" s="30">
        <f t="shared" si="13"/>
        <v>178.46000000000004</v>
      </c>
      <c r="H94" s="30">
        <f t="shared" si="13"/>
        <v>0</v>
      </c>
      <c r="I94" s="30">
        <f t="shared" si="13"/>
        <v>0</v>
      </c>
      <c r="J94" s="31">
        <f>SUM(D94:I94)</f>
        <v>8474.5099999999984</v>
      </c>
      <c r="K94" s="8"/>
      <c r="L94" s="8"/>
    </row>
    <row r="95" spans="1:12" ht="15.75" thickTop="1">
      <c r="A95" s="8"/>
      <c r="B95" s="8"/>
      <c r="C95" s="8"/>
      <c r="D95" s="8"/>
      <c r="E95" s="8"/>
      <c r="F95" s="15"/>
      <c r="G95" s="15"/>
      <c r="H95" s="15"/>
      <c r="I95" s="15"/>
      <c r="J95" s="20"/>
      <c r="K95" s="8"/>
      <c r="L95" s="8"/>
    </row>
    <row r="96" spans="1:12">
      <c r="A96" s="8"/>
      <c r="B96" s="8"/>
      <c r="C96" s="8"/>
      <c r="D96" s="8"/>
      <c r="E96" s="8"/>
      <c r="F96" s="15"/>
      <c r="G96" s="15"/>
      <c r="H96" s="15"/>
      <c r="I96" s="15"/>
      <c r="J96" s="20"/>
      <c r="K96" s="8"/>
      <c r="L96" s="8"/>
    </row>
    <row r="97" spans="1:12" ht="15.75" thickBot="1">
      <c r="A97" s="8">
        <v>35</v>
      </c>
      <c r="B97" s="8" t="s">
        <v>28</v>
      </c>
      <c r="C97" s="8" t="s">
        <v>12</v>
      </c>
      <c r="D97" s="27">
        <v>5664.15</v>
      </c>
      <c r="E97" s="27">
        <v>179.79</v>
      </c>
      <c r="F97" s="28">
        <v>71.900000000000006</v>
      </c>
      <c r="G97" s="28">
        <v>69.489999999999995</v>
      </c>
      <c r="H97" s="28">
        <v>67.73</v>
      </c>
      <c r="I97" s="28">
        <v>0</v>
      </c>
      <c r="J97" s="29">
        <f>SUM(D97:I97)</f>
        <v>6053.0599999999986</v>
      </c>
      <c r="K97" s="8"/>
      <c r="L97" s="8"/>
    </row>
    <row r="98" spans="1:12">
      <c r="A98" s="8"/>
      <c r="B98" s="8"/>
      <c r="C98" s="8"/>
      <c r="D98" s="8"/>
      <c r="E98" s="8"/>
      <c r="F98" s="24"/>
      <c r="G98" s="24"/>
      <c r="H98" s="24"/>
      <c r="I98" s="24"/>
      <c r="J98" s="25"/>
      <c r="K98" s="8"/>
      <c r="L98" s="8"/>
    </row>
    <row r="99" spans="1:12" ht="15.75" thickBot="1">
      <c r="A99" s="8"/>
      <c r="B99" s="8"/>
      <c r="C99" s="8" t="s">
        <v>10</v>
      </c>
      <c r="D99" s="30">
        <f t="shared" ref="D99:I99" si="14">SUM(D97:D98)</f>
        <v>5664.15</v>
      </c>
      <c r="E99" s="30">
        <f t="shared" si="14"/>
        <v>179.79</v>
      </c>
      <c r="F99" s="30">
        <f t="shared" si="14"/>
        <v>71.900000000000006</v>
      </c>
      <c r="G99" s="30">
        <f t="shared" si="14"/>
        <v>69.489999999999995</v>
      </c>
      <c r="H99" s="30">
        <f t="shared" si="14"/>
        <v>67.73</v>
      </c>
      <c r="I99" s="30">
        <f t="shared" si="14"/>
        <v>0</v>
      </c>
      <c r="J99" s="31">
        <f>SUM(D99:I99)</f>
        <v>6053.0599999999986</v>
      </c>
      <c r="K99" s="8"/>
      <c r="L99" s="8"/>
    </row>
    <row r="100" spans="1:12" ht="15.75" thickTop="1">
      <c r="A100" s="8"/>
      <c r="B100" s="8"/>
      <c r="C100" s="8"/>
      <c r="D100" s="8"/>
      <c r="E100" s="8"/>
      <c r="F100" s="15"/>
      <c r="G100" s="15"/>
      <c r="H100" s="15"/>
      <c r="I100" s="15"/>
      <c r="J100" s="20"/>
      <c r="K100" s="8"/>
      <c r="L100" s="8"/>
    </row>
    <row r="101" spans="1:12">
      <c r="A101" s="8"/>
      <c r="B101" s="8"/>
      <c r="C101" s="8"/>
      <c r="D101" s="8"/>
      <c r="E101" s="8"/>
      <c r="F101" s="15"/>
      <c r="G101" s="15"/>
      <c r="H101" s="15"/>
      <c r="I101" s="15"/>
      <c r="J101" s="20"/>
      <c r="K101" s="8"/>
      <c r="L101" s="8"/>
    </row>
    <row r="102" spans="1:12">
      <c r="A102" s="8">
        <v>36</v>
      </c>
      <c r="B102" s="8" t="s">
        <v>29</v>
      </c>
      <c r="C102" s="8" t="s">
        <v>12</v>
      </c>
      <c r="D102" s="8">
        <v>6418.21</v>
      </c>
      <c r="E102" s="8">
        <v>193.62</v>
      </c>
      <c r="F102" s="15">
        <v>161.56</v>
      </c>
      <c r="G102" s="15">
        <v>52.69</v>
      </c>
      <c r="H102" s="15">
        <v>31.3</v>
      </c>
      <c r="I102" s="15">
        <v>0</v>
      </c>
      <c r="J102" s="20">
        <f>SUM(D102:I102)</f>
        <v>6857.38</v>
      </c>
      <c r="K102" s="8"/>
      <c r="L102" s="8"/>
    </row>
    <row r="103" spans="1:12" ht="15.75" thickBot="1">
      <c r="A103" s="8"/>
      <c r="B103" s="8"/>
      <c r="C103" s="8" t="s">
        <v>13</v>
      </c>
      <c r="D103" s="27">
        <v>473.92</v>
      </c>
      <c r="E103" s="27">
        <v>13.04</v>
      </c>
      <c r="F103" s="28">
        <v>10.9</v>
      </c>
      <c r="G103" s="28">
        <v>3.39</v>
      </c>
      <c r="H103" s="28">
        <v>2.1</v>
      </c>
      <c r="I103" s="28">
        <v>0</v>
      </c>
      <c r="J103" s="29">
        <f>SUM(D103:I103)</f>
        <v>503.35</v>
      </c>
      <c r="K103" s="8"/>
      <c r="L103" s="8"/>
    </row>
    <row r="104" spans="1:12">
      <c r="A104" s="8"/>
      <c r="B104" s="8"/>
      <c r="C104" s="8"/>
      <c r="D104" s="8"/>
      <c r="E104" s="8"/>
      <c r="F104" s="15"/>
      <c r="G104" s="15"/>
      <c r="H104" s="15"/>
      <c r="I104" s="15"/>
      <c r="J104" s="20"/>
      <c r="K104" s="8"/>
      <c r="L104" s="8"/>
    </row>
    <row r="105" spans="1:12" ht="15.75" thickBot="1">
      <c r="A105" s="8"/>
      <c r="B105" s="8"/>
      <c r="C105" s="8" t="s">
        <v>10</v>
      </c>
      <c r="D105" s="30">
        <f t="shared" ref="D105:I105" si="15">SUM(D102:D103)</f>
        <v>6892.13</v>
      </c>
      <c r="E105" s="30">
        <f t="shared" si="15"/>
        <v>206.66</v>
      </c>
      <c r="F105" s="30">
        <f t="shared" si="15"/>
        <v>172.46</v>
      </c>
      <c r="G105" s="30">
        <f t="shared" si="15"/>
        <v>56.08</v>
      </c>
      <c r="H105" s="30">
        <f t="shared" si="15"/>
        <v>33.4</v>
      </c>
      <c r="I105" s="30">
        <f t="shared" si="15"/>
        <v>0</v>
      </c>
      <c r="J105" s="31">
        <f>SUM(D105:I105)</f>
        <v>7360.73</v>
      </c>
      <c r="K105" s="8"/>
      <c r="L105" s="8"/>
    </row>
    <row r="106" spans="1:12" ht="15.75" thickTop="1">
      <c r="A106" s="8"/>
      <c r="B106" s="8"/>
      <c r="C106" s="8"/>
      <c r="D106" s="8"/>
      <c r="E106" s="8"/>
      <c r="F106" s="15"/>
      <c r="G106" s="15"/>
      <c r="H106" s="15"/>
      <c r="I106" s="15"/>
      <c r="J106" s="20"/>
      <c r="K106" s="8"/>
      <c r="L106" s="8"/>
    </row>
    <row r="107" spans="1:12">
      <c r="A107" s="8"/>
      <c r="B107" s="8"/>
      <c r="C107" s="8"/>
      <c r="D107" s="8"/>
      <c r="E107" s="8"/>
      <c r="F107" s="15"/>
      <c r="G107" s="15"/>
      <c r="H107" s="15"/>
      <c r="I107" s="15"/>
      <c r="J107" s="20"/>
      <c r="K107" s="8"/>
      <c r="L107" s="8"/>
    </row>
    <row r="108" spans="1:12" ht="15.75" thickBot="1">
      <c r="A108" s="8">
        <v>37</v>
      </c>
      <c r="B108" s="8" t="s">
        <v>30</v>
      </c>
      <c r="C108" s="8" t="s">
        <v>12</v>
      </c>
      <c r="D108" s="27">
        <v>6608.05</v>
      </c>
      <c r="E108" s="27">
        <v>466.68</v>
      </c>
      <c r="F108" s="28">
        <v>393.13</v>
      </c>
      <c r="G108" s="28">
        <v>265.51</v>
      </c>
      <c r="H108" s="28">
        <v>7.48</v>
      </c>
      <c r="I108" s="28">
        <v>7.35</v>
      </c>
      <c r="J108" s="29">
        <f>SUM(D108:I108)</f>
        <v>7748.2000000000007</v>
      </c>
      <c r="K108" s="8"/>
      <c r="L108" s="8"/>
    </row>
    <row r="109" spans="1:12">
      <c r="A109" s="8"/>
      <c r="B109" s="8"/>
      <c r="C109" s="8"/>
      <c r="D109" s="8"/>
      <c r="E109" s="8"/>
      <c r="F109" s="24"/>
      <c r="G109" s="24"/>
      <c r="H109" s="24"/>
      <c r="I109" s="24"/>
      <c r="J109" s="25"/>
      <c r="K109" s="8"/>
      <c r="L109" s="8"/>
    </row>
    <row r="110" spans="1:12" ht="15.75" thickBot="1">
      <c r="A110" s="8"/>
      <c r="B110" s="8"/>
      <c r="C110" s="8" t="s">
        <v>10</v>
      </c>
      <c r="D110" s="30">
        <f t="shared" ref="D110:I110" si="16">SUM(D108:D109)</f>
        <v>6608.05</v>
      </c>
      <c r="E110" s="30">
        <f t="shared" si="16"/>
        <v>466.68</v>
      </c>
      <c r="F110" s="30">
        <f t="shared" si="16"/>
        <v>393.13</v>
      </c>
      <c r="G110" s="30">
        <f t="shared" si="16"/>
        <v>265.51</v>
      </c>
      <c r="H110" s="30">
        <f t="shared" si="16"/>
        <v>7.48</v>
      </c>
      <c r="I110" s="30">
        <f t="shared" si="16"/>
        <v>7.35</v>
      </c>
      <c r="J110" s="31">
        <f>SUM(D110:I110)</f>
        <v>7748.2000000000007</v>
      </c>
      <c r="K110" s="8"/>
      <c r="L110" s="8"/>
    </row>
    <row r="111" spans="1:12" ht="15.75" thickTop="1">
      <c r="A111" s="8"/>
      <c r="B111" s="8"/>
      <c r="C111" s="8"/>
      <c r="D111" s="8"/>
      <c r="E111" s="8"/>
      <c r="F111" s="15"/>
      <c r="G111" s="15"/>
      <c r="H111" s="15"/>
      <c r="I111" s="15"/>
      <c r="J111" s="20"/>
      <c r="K111" s="8"/>
      <c r="L111" s="8"/>
    </row>
    <row r="112" spans="1:12">
      <c r="A112" s="8"/>
      <c r="B112" s="8"/>
      <c r="C112" s="8"/>
      <c r="D112" s="8"/>
      <c r="E112" s="8"/>
      <c r="F112" s="15"/>
      <c r="G112" s="15"/>
      <c r="H112" s="15"/>
      <c r="I112" s="15"/>
      <c r="J112" s="20"/>
      <c r="K112" s="8"/>
      <c r="L112" s="8"/>
    </row>
    <row r="113" spans="1:12">
      <c r="A113" s="8">
        <v>38</v>
      </c>
      <c r="B113" s="8" t="s">
        <v>31</v>
      </c>
      <c r="C113" s="8" t="s">
        <v>12</v>
      </c>
      <c r="D113" s="8">
        <v>5513.22</v>
      </c>
      <c r="E113" s="8">
        <v>198.11</v>
      </c>
      <c r="F113" s="15">
        <v>0</v>
      </c>
      <c r="G113" s="15">
        <v>0</v>
      </c>
      <c r="H113" s="15">
        <v>0</v>
      </c>
      <c r="I113" s="15">
        <v>0</v>
      </c>
      <c r="J113" s="20">
        <f>SUM(D113:I113)</f>
        <v>5711.33</v>
      </c>
      <c r="K113" s="8"/>
      <c r="L113" s="8"/>
    </row>
    <row r="114" spans="1:12">
      <c r="A114" s="8"/>
      <c r="B114" s="8"/>
      <c r="C114" s="8" t="s">
        <v>35</v>
      </c>
      <c r="D114" s="8">
        <v>701.54</v>
      </c>
      <c r="E114" s="15">
        <v>25.29</v>
      </c>
      <c r="F114" s="15">
        <v>0</v>
      </c>
      <c r="G114" s="15">
        <v>0</v>
      </c>
      <c r="H114" s="15">
        <v>0</v>
      </c>
      <c r="I114" s="15">
        <v>0</v>
      </c>
      <c r="J114" s="20">
        <f>SUM(D114:I114)</f>
        <v>726.82999999999993</v>
      </c>
      <c r="K114" s="8"/>
      <c r="L114" s="8"/>
    </row>
    <row r="115" spans="1:12">
      <c r="A115" s="8"/>
      <c r="B115" s="8"/>
      <c r="C115" s="8" t="s">
        <v>13</v>
      </c>
      <c r="D115" s="8">
        <v>554.41999999999996</v>
      </c>
      <c r="E115" s="8">
        <v>19.149999999999999</v>
      </c>
      <c r="F115" s="15">
        <v>0</v>
      </c>
      <c r="G115" s="15">
        <v>0</v>
      </c>
      <c r="H115" s="15">
        <v>0</v>
      </c>
      <c r="I115" s="15">
        <v>0</v>
      </c>
      <c r="J115" s="20">
        <f>SUM(D115:I115)</f>
        <v>573.56999999999994</v>
      </c>
      <c r="K115" s="8"/>
      <c r="L115" s="8"/>
    </row>
    <row r="116" spans="1:12" ht="15.75" thickBot="1">
      <c r="A116" s="8"/>
      <c r="B116" s="8"/>
      <c r="C116" s="8" t="s">
        <v>78</v>
      </c>
      <c r="D116" s="27">
        <v>1105.04</v>
      </c>
      <c r="E116" s="27">
        <v>36.340000000000003</v>
      </c>
      <c r="F116" s="28">
        <v>0</v>
      </c>
      <c r="G116" s="28">
        <v>0</v>
      </c>
      <c r="H116" s="28">
        <v>0</v>
      </c>
      <c r="I116" s="28">
        <v>0</v>
      </c>
      <c r="J116" s="29">
        <f>SUM(D116:I116)</f>
        <v>1141.3799999999999</v>
      </c>
      <c r="K116" s="8"/>
      <c r="L116" s="8"/>
    </row>
    <row r="117" spans="1:12">
      <c r="A117" s="8"/>
      <c r="B117" s="8"/>
      <c r="C117" s="8"/>
      <c r="D117" s="8"/>
      <c r="E117" s="8"/>
      <c r="F117" s="15"/>
      <c r="G117" s="15"/>
      <c r="H117" s="15"/>
      <c r="I117" s="15"/>
      <c r="J117" s="20"/>
      <c r="K117" s="8"/>
      <c r="L117" s="8"/>
    </row>
    <row r="118" spans="1:12" ht="15.75" thickBot="1">
      <c r="A118" s="8"/>
      <c r="B118" s="8"/>
      <c r="C118" s="8" t="s">
        <v>10</v>
      </c>
      <c r="D118" s="30">
        <f t="shared" ref="D118:I118" si="17">SUM(D113:D116)</f>
        <v>7874.22</v>
      </c>
      <c r="E118" s="30">
        <f t="shared" si="17"/>
        <v>278.89</v>
      </c>
      <c r="F118" s="30">
        <f t="shared" si="17"/>
        <v>0</v>
      </c>
      <c r="G118" s="30">
        <f t="shared" si="17"/>
        <v>0</v>
      </c>
      <c r="H118" s="30">
        <f t="shared" si="17"/>
        <v>0</v>
      </c>
      <c r="I118" s="30">
        <f t="shared" si="17"/>
        <v>0</v>
      </c>
      <c r="J118" s="31">
        <f>SUM(D118:I118)</f>
        <v>8153.1100000000006</v>
      </c>
      <c r="K118" s="8"/>
      <c r="L118" s="8"/>
    </row>
    <row r="119" spans="1:12" ht="15.75" thickTop="1">
      <c r="A119" s="8"/>
      <c r="B119" s="8"/>
      <c r="C119" s="8"/>
      <c r="D119" s="8"/>
      <c r="E119" s="8"/>
      <c r="F119" s="15"/>
      <c r="G119" s="15"/>
      <c r="H119" s="15"/>
      <c r="I119" s="15"/>
      <c r="J119" s="20"/>
      <c r="K119" s="8"/>
      <c r="L119" s="8"/>
    </row>
    <row r="120" spans="1:12">
      <c r="A120" s="8"/>
      <c r="B120" s="8"/>
      <c r="C120" s="8"/>
      <c r="D120" s="8"/>
      <c r="E120" s="8"/>
      <c r="F120" s="15"/>
      <c r="G120" s="15"/>
      <c r="H120" s="15"/>
      <c r="I120" s="15"/>
      <c r="J120" s="20"/>
      <c r="K120" s="8"/>
      <c r="L120" s="8"/>
    </row>
    <row r="121" spans="1:12" ht="15.75" thickBot="1">
      <c r="A121" s="8">
        <v>39</v>
      </c>
      <c r="B121" s="8" t="s">
        <v>32</v>
      </c>
      <c r="C121" s="8" t="s">
        <v>12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I121" s="28">
        <v>0</v>
      </c>
      <c r="J121" s="34">
        <v>0</v>
      </c>
      <c r="K121" s="8"/>
      <c r="L121" s="8"/>
    </row>
    <row r="122" spans="1:12">
      <c r="A122" s="8"/>
      <c r="B122" s="8"/>
      <c r="C122" s="8"/>
      <c r="D122" s="8"/>
      <c r="E122" s="8"/>
      <c r="F122" s="15"/>
      <c r="G122" s="15"/>
      <c r="H122" s="15"/>
      <c r="I122" s="15"/>
      <c r="J122" s="20"/>
      <c r="K122" s="8"/>
      <c r="L122" s="8"/>
    </row>
    <row r="123" spans="1:12" ht="15.75" thickBot="1">
      <c r="A123" s="8"/>
      <c r="B123" s="8"/>
      <c r="C123" s="8" t="s">
        <v>10</v>
      </c>
      <c r="D123" s="32"/>
      <c r="E123" s="32"/>
      <c r="F123" s="30"/>
      <c r="G123" s="30"/>
      <c r="H123" s="30"/>
      <c r="I123" s="30"/>
      <c r="J123" s="31"/>
      <c r="K123" s="8"/>
      <c r="L123" s="8"/>
    </row>
    <row r="124" spans="1:12" ht="15.75" thickTop="1">
      <c r="A124" s="8"/>
      <c r="B124" s="8"/>
      <c r="C124" s="8"/>
      <c r="D124" s="8"/>
      <c r="E124" s="8"/>
      <c r="F124" s="15"/>
      <c r="G124" s="15"/>
      <c r="H124" s="15"/>
      <c r="I124" s="15"/>
      <c r="J124" s="20"/>
      <c r="K124" s="8"/>
      <c r="L124" s="8"/>
    </row>
    <row r="125" spans="1:12">
      <c r="A125" s="8"/>
      <c r="B125" s="8"/>
      <c r="C125" s="8"/>
      <c r="D125" s="8"/>
      <c r="E125" s="8"/>
      <c r="F125" s="15"/>
      <c r="G125" s="15"/>
      <c r="H125" s="15"/>
      <c r="I125" s="15"/>
      <c r="J125" s="20"/>
      <c r="K125" s="8"/>
      <c r="L125" s="8"/>
    </row>
    <row r="126" spans="1:12" ht="15.75" thickBot="1">
      <c r="A126" s="8">
        <v>40</v>
      </c>
      <c r="B126" s="8" t="s">
        <v>33</v>
      </c>
      <c r="C126" s="8" t="s">
        <v>12</v>
      </c>
      <c r="D126" s="27">
        <v>7778.96</v>
      </c>
      <c r="E126" s="27">
        <v>445.48</v>
      </c>
      <c r="F126" s="28">
        <v>145.51</v>
      </c>
      <c r="G126" s="28">
        <v>144.13999999999999</v>
      </c>
      <c r="H126" s="28">
        <v>144.62</v>
      </c>
      <c r="I126" s="28">
        <v>2.41</v>
      </c>
      <c r="J126" s="29">
        <f>SUM(D126:I126)</f>
        <v>8661.1200000000008</v>
      </c>
      <c r="K126" s="8"/>
      <c r="L126" s="8"/>
    </row>
    <row r="127" spans="1:12">
      <c r="A127" s="8"/>
      <c r="B127" s="8"/>
      <c r="C127" s="8"/>
      <c r="D127" s="8"/>
      <c r="E127" s="8"/>
      <c r="F127" s="24"/>
      <c r="G127" s="24"/>
      <c r="H127" s="24"/>
      <c r="I127" s="24"/>
      <c r="J127" s="25"/>
      <c r="K127" s="8"/>
      <c r="L127" s="8"/>
    </row>
    <row r="128" spans="1:12" ht="15.75" thickBot="1">
      <c r="A128" s="8"/>
      <c r="B128" s="8"/>
      <c r="C128" s="8" t="s">
        <v>10</v>
      </c>
      <c r="D128" s="30">
        <f t="shared" ref="D128:I128" si="18">SUM(D126:D127)</f>
        <v>7778.96</v>
      </c>
      <c r="E128" s="30">
        <f t="shared" si="18"/>
        <v>445.48</v>
      </c>
      <c r="F128" s="30">
        <f t="shared" si="18"/>
        <v>145.51</v>
      </c>
      <c r="G128" s="30">
        <f t="shared" si="18"/>
        <v>144.13999999999999</v>
      </c>
      <c r="H128" s="30">
        <f t="shared" si="18"/>
        <v>144.62</v>
      </c>
      <c r="I128" s="30">
        <f t="shared" si="18"/>
        <v>2.41</v>
      </c>
      <c r="J128" s="31">
        <f>SUM(D128:I128)</f>
        <v>8661.1200000000008</v>
      </c>
      <c r="K128" s="8"/>
      <c r="L128" s="8"/>
    </row>
    <row r="129" spans="1:12" ht="15.75" thickTop="1">
      <c r="A129" s="8"/>
      <c r="B129" s="8"/>
      <c r="C129" s="8"/>
      <c r="D129" s="8"/>
      <c r="E129" s="8"/>
      <c r="F129" s="15"/>
      <c r="G129" s="15"/>
      <c r="H129" s="15"/>
      <c r="I129" s="15"/>
      <c r="J129" s="20"/>
      <c r="K129" s="8"/>
      <c r="L129" s="8"/>
    </row>
    <row r="130" spans="1:12">
      <c r="A130" s="8"/>
      <c r="B130" s="8"/>
      <c r="C130" s="8"/>
      <c r="D130" s="8"/>
      <c r="E130" s="8"/>
      <c r="F130" s="15"/>
      <c r="G130" s="15"/>
      <c r="H130" s="15"/>
      <c r="I130" s="15"/>
      <c r="J130" s="20"/>
      <c r="K130" s="8"/>
      <c r="L130" s="8"/>
    </row>
    <row r="131" spans="1:12">
      <c r="A131" s="8">
        <v>41</v>
      </c>
      <c r="B131" s="8" t="s">
        <v>34</v>
      </c>
      <c r="C131" s="8" t="s">
        <v>12</v>
      </c>
      <c r="D131" s="8">
        <v>6567.5</v>
      </c>
      <c r="E131" s="8">
        <v>19.16</v>
      </c>
      <c r="F131" s="15">
        <v>0</v>
      </c>
      <c r="G131" s="15">
        <v>0</v>
      </c>
      <c r="H131" s="15">
        <v>0</v>
      </c>
      <c r="I131" s="15">
        <v>0</v>
      </c>
      <c r="J131" s="20">
        <f>SUM(D131:I131)</f>
        <v>6586.66</v>
      </c>
      <c r="K131" s="8"/>
      <c r="L131" s="8"/>
    </row>
    <row r="132" spans="1:12" ht="15.75" thickBot="1">
      <c r="A132" s="8"/>
      <c r="B132" s="8"/>
      <c r="C132" s="8" t="s">
        <v>35</v>
      </c>
      <c r="D132" s="27">
        <v>314.97000000000003</v>
      </c>
      <c r="E132" s="27">
        <v>0.99</v>
      </c>
      <c r="F132" s="28">
        <v>0</v>
      </c>
      <c r="G132" s="28">
        <v>0</v>
      </c>
      <c r="H132" s="28">
        <v>0</v>
      </c>
      <c r="I132" s="28">
        <v>0</v>
      </c>
      <c r="J132" s="29">
        <f>SUM(D132:I132)</f>
        <v>315.96000000000004</v>
      </c>
      <c r="K132" s="8"/>
      <c r="L132" s="8"/>
    </row>
    <row r="133" spans="1:12">
      <c r="A133" s="8"/>
      <c r="B133" s="8"/>
      <c r="C133" s="8"/>
      <c r="D133" s="8"/>
      <c r="E133" s="8"/>
      <c r="F133" s="15"/>
      <c r="G133" s="15"/>
      <c r="H133" s="15"/>
      <c r="I133" s="15"/>
      <c r="J133" s="20"/>
      <c r="K133" s="8"/>
      <c r="L133" s="8"/>
    </row>
    <row r="134" spans="1:12" ht="15.75" thickBot="1">
      <c r="A134" s="8"/>
      <c r="B134" s="8"/>
      <c r="C134" s="8" t="s">
        <v>10</v>
      </c>
      <c r="D134" s="30">
        <f t="shared" ref="D134:I134" si="19">SUM(D131:D132)</f>
        <v>6882.47</v>
      </c>
      <c r="E134" s="30">
        <f t="shared" si="19"/>
        <v>20.149999999999999</v>
      </c>
      <c r="F134" s="30">
        <f t="shared" si="19"/>
        <v>0</v>
      </c>
      <c r="G134" s="30">
        <f t="shared" si="19"/>
        <v>0</v>
      </c>
      <c r="H134" s="30">
        <f t="shared" si="19"/>
        <v>0</v>
      </c>
      <c r="I134" s="30">
        <f t="shared" si="19"/>
        <v>0</v>
      </c>
      <c r="J134" s="31">
        <f>SUM(D134:I134)</f>
        <v>6902.62</v>
      </c>
      <c r="K134" s="8"/>
      <c r="L134" s="8"/>
    </row>
    <row r="135" spans="1:12" ht="15.75" thickTop="1">
      <c r="A135" s="8"/>
      <c r="B135" s="8"/>
      <c r="C135" s="8"/>
      <c r="D135" s="8"/>
      <c r="E135" s="8"/>
      <c r="F135" s="15"/>
      <c r="G135" s="15"/>
      <c r="H135" s="15"/>
      <c r="I135" s="15"/>
      <c r="J135" s="20"/>
      <c r="K135" s="8"/>
      <c r="L135" s="8"/>
    </row>
    <row r="136" spans="1:12">
      <c r="A136" s="8"/>
      <c r="B136" s="8"/>
      <c r="C136" s="8"/>
      <c r="D136" s="8"/>
      <c r="E136" s="8"/>
      <c r="F136" s="15"/>
      <c r="G136" s="15"/>
      <c r="H136" s="15"/>
      <c r="I136" s="15"/>
      <c r="J136" s="20"/>
      <c r="K136" s="8"/>
      <c r="L136" s="8"/>
    </row>
    <row r="137" spans="1:12">
      <c r="A137" s="8">
        <v>42</v>
      </c>
      <c r="B137" s="8" t="s">
        <v>36</v>
      </c>
      <c r="C137" s="8" t="s">
        <v>12</v>
      </c>
      <c r="D137" s="8">
        <v>8959.19</v>
      </c>
      <c r="E137" s="8">
        <v>128.19999999999999</v>
      </c>
      <c r="F137" s="15">
        <v>120.51</v>
      </c>
      <c r="G137" s="15">
        <v>0</v>
      </c>
      <c r="H137" s="15">
        <v>0</v>
      </c>
      <c r="I137" s="15">
        <v>0</v>
      </c>
      <c r="J137" s="20">
        <f>SUM(D137:I137)</f>
        <v>9207.9000000000015</v>
      </c>
      <c r="K137" s="8"/>
      <c r="L137" s="8"/>
    </row>
    <row r="138" spans="1:12" ht="15.75" thickBot="1">
      <c r="A138" s="8"/>
      <c r="B138" s="8"/>
      <c r="C138" s="8" t="s">
        <v>13</v>
      </c>
      <c r="D138" s="27">
        <v>583.80999999999995</v>
      </c>
      <c r="E138" s="27">
        <v>7.98</v>
      </c>
      <c r="F138" s="28">
        <v>4.9800000000000004</v>
      </c>
      <c r="G138" s="28">
        <v>0</v>
      </c>
      <c r="H138" s="28">
        <v>0</v>
      </c>
      <c r="I138" s="28">
        <v>0</v>
      </c>
      <c r="J138" s="29">
        <f>SUM(D138:I138)</f>
        <v>596.77</v>
      </c>
      <c r="K138" s="8"/>
      <c r="L138" s="8"/>
    </row>
    <row r="139" spans="1:12">
      <c r="A139" s="8"/>
      <c r="B139" s="8"/>
      <c r="C139" s="8"/>
      <c r="D139" s="8"/>
      <c r="E139" s="8"/>
      <c r="F139" s="15"/>
      <c r="G139" s="15"/>
      <c r="H139" s="15"/>
      <c r="I139" s="15"/>
      <c r="J139" s="20"/>
      <c r="K139" s="8"/>
      <c r="L139" s="8"/>
    </row>
    <row r="140" spans="1:12" ht="15.75" thickBot="1">
      <c r="A140" s="8"/>
      <c r="B140" s="8"/>
      <c r="C140" s="8" t="s">
        <v>10</v>
      </c>
      <c r="D140" s="30">
        <f t="shared" ref="D140:I140" si="20">SUM(D137:D138)</f>
        <v>9543</v>
      </c>
      <c r="E140" s="30">
        <f t="shared" si="20"/>
        <v>136.17999999999998</v>
      </c>
      <c r="F140" s="30">
        <f t="shared" si="20"/>
        <v>125.49000000000001</v>
      </c>
      <c r="G140" s="30">
        <f t="shared" si="20"/>
        <v>0</v>
      </c>
      <c r="H140" s="30">
        <f t="shared" si="20"/>
        <v>0</v>
      </c>
      <c r="I140" s="30">
        <f t="shared" si="20"/>
        <v>0</v>
      </c>
      <c r="J140" s="31">
        <f>SUM(D140:I140)</f>
        <v>9804.67</v>
      </c>
      <c r="K140" s="8"/>
      <c r="L140" s="8"/>
    </row>
    <row r="141" spans="1:12" ht="15.75" thickTop="1">
      <c r="A141" s="8"/>
      <c r="B141" s="8"/>
      <c r="C141" s="8"/>
      <c r="D141" s="8"/>
      <c r="E141" s="8"/>
      <c r="F141" s="15"/>
      <c r="G141" s="15"/>
      <c r="H141" s="15"/>
      <c r="I141" s="15"/>
      <c r="J141" s="20"/>
      <c r="K141" s="8"/>
      <c r="L141" s="8"/>
    </row>
    <row r="142" spans="1:12">
      <c r="A142" s="8"/>
      <c r="B142" s="8"/>
      <c r="C142" s="8"/>
      <c r="D142" s="8"/>
      <c r="E142" s="8"/>
      <c r="F142" s="15"/>
      <c r="G142" s="15"/>
      <c r="H142" s="15"/>
      <c r="I142" s="15"/>
      <c r="J142" s="20"/>
      <c r="K142" s="8"/>
      <c r="L142" s="8"/>
    </row>
    <row r="143" spans="1:12">
      <c r="A143" s="8">
        <v>43</v>
      </c>
      <c r="B143" s="8" t="s">
        <v>37</v>
      </c>
      <c r="C143" s="8" t="s">
        <v>12</v>
      </c>
      <c r="D143" s="8">
        <v>7265.03</v>
      </c>
      <c r="E143" s="15">
        <v>86.92</v>
      </c>
      <c r="F143" s="15">
        <v>0</v>
      </c>
      <c r="G143" s="15">
        <v>0</v>
      </c>
      <c r="H143" s="15">
        <v>0</v>
      </c>
      <c r="I143" s="15">
        <v>0</v>
      </c>
      <c r="J143" s="20">
        <f>SUM(D143:I143)</f>
        <v>7351.95</v>
      </c>
      <c r="K143" s="8"/>
      <c r="L143" s="8"/>
    </row>
    <row r="144" spans="1:12">
      <c r="A144" s="8"/>
      <c r="B144" s="8"/>
      <c r="C144" s="8" t="s">
        <v>35</v>
      </c>
      <c r="D144" s="8">
        <v>403.56</v>
      </c>
      <c r="E144" s="15">
        <v>5.0199999999999996</v>
      </c>
      <c r="F144" s="15">
        <v>0</v>
      </c>
      <c r="G144" s="15">
        <v>0</v>
      </c>
      <c r="H144" s="15">
        <v>0</v>
      </c>
      <c r="I144" s="15">
        <v>0</v>
      </c>
      <c r="J144" s="20">
        <f>SUM(D144:I144)</f>
        <v>408.58</v>
      </c>
      <c r="K144" s="8"/>
      <c r="L144" s="8"/>
    </row>
    <row r="145" spans="1:12">
      <c r="A145" s="8"/>
      <c r="B145" s="8"/>
      <c r="C145" s="8" t="s">
        <v>13</v>
      </c>
      <c r="D145" s="8">
        <v>569</v>
      </c>
      <c r="E145" s="15">
        <v>7</v>
      </c>
      <c r="F145" s="15">
        <v>0</v>
      </c>
      <c r="G145" s="15">
        <v>0</v>
      </c>
      <c r="H145" s="15">
        <v>0</v>
      </c>
      <c r="I145" s="15">
        <v>0</v>
      </c>
      <c r="J145" s="20">
        <f>SUM(D145:I145)</f>
        <v>576</v>
      </c>
      <c r="K145" s="8"/>
      <c r="L145" s="8"/>
    </row>
    <row r="146" spans="1:12" ht="15.75" thickBot="1">
      <c r="A146" s="8"/>
      <c r="B146" s="8"/>
      <c r="C146" s="8" t="s">
        <v>78</v>
      </c>
      <c r="D146" s="27">
        <v>1210.94</v>
      </c>
      <c r="E146" s="28">
        <v>14.63</v>
      </c>
      <c r="F146" s="28">
        <v>0</v>
      </c>
      <c r="G146" s="28">
        <v>0</v>
      </c>
      <c r="H146" s="28">
        <v>0</v>
      </c>
      <c r="I146" s="28">
        <v>0</v>
      </c>
      <c r="J146" s="29">
        <f>SUM(D146:I146)</f>
        <v>1225.5700000000002</v>
      </c>
      <c r="K146" s="8"/>
      <c r="L146" s="8"/>
    </row>
    <row r="147" spans="1:12">
      <c r="A147" s="8"/>
      <c r="B147" s="8"/>
      <c r="C147" s="8"/>
      <c r="D147" s="8"/>
      <c r="E147" s="15"/>
      <c r="F147" s="15"/>
      <c r="G147" s="15"/>
      <c r="H147" s="15"/>
      <c r="I147" s="15"/>
      <c r="J147" s="20"/>
      <c r="K147" s="8"/>
      <c r="L147" s="8"/>
    </row>
    <row r="148" spans="1:12" ht="15.75" thickBot="1">
      <c r="A148" s="8"/>
      <c r="B148" s="8"/>
      <c r="C148" s="8" t="s">
        <v>10</v>
      </c>
      <c r="D148" s="30">
        <f t="shared" ref="D148:I148" si="21">SUM(D143:D146)</f>
        <v>9448.5300000000007</v>
      </c>
      <c r="E148" s="30">
        <f t="shared" si="21"/>
        <v>113.57</v>
      </c>
      <c r="F148" s="30">
        <f t="shared" si="21"/>
        <v>0</v>
      </c>
      <c r="G148" s="30">
        <f t="shared" si="21"/>
        <v>0</v>
      </c>
      <c r="H148" s="30">
        <f t="shared" si="21"/>
        <v>0</v>
      </c>
      <c r="I148" s="30">
        <f t="shared" si="21"/>
        <v>0</v>
      </c>
      <c r="J148" s="31">
        <f>SUM(D148:I148)</f>
        <v>9562.1</v>
      </c>
      <c r="K148" s="8"/>
      <c r="L148" s="8"/>
    </row>
    <row r="149" spans="1:12" ht="15.75" thickTop="1">
      <c r="A149" s="8"/>
      <c r="B149" s="8"/>
      <c r="C149" s="8"/>
      <c r="D149" s="8"/>
      <c r="E149" s="8"/>
      <c r="F149" s="15"/>
      <c r="G149" s="15"/>
      <c r="H149" s="15"/>
      <c r="I149" s="15"/>
      <c r="J149" s="20"/>
      <c r="K149" s="8"/>
      <c r="L149" s="8"/>
    </row>
    <row r="150" spans="1:12">
      <c r="A150" s="8"/>
      <c r="B150" s="8"/>
      <c r="C150" s="8"/>
      <c r="D150" s="8"/>
      <c r="E150" s="8"/>
      <c r="F150" s="15"/>
      <c r="G150" s="15"/>
      <c r="H150" s="15"/>
      <c r="I150" s="15"/>
      <c r="J150" s="20"/>
      <c r="K150" s="8"/>
      <c r="L150" s="8"/>
    </row>
    <row r="151" spans="1:12" ht="15.75" thickBot="1">
      <c r="A151" s="8">
        <v>44</v>
      </c>
      <c r="B151" s="8" t="s">
        <v>38</v>
      </c>
      <c r="C151" s="8" t="s">
        <v>12</v>
      </c>
      <c r="D151" s="27">
        <v>11166.45</v>
      </c>
      <c r="E151" s="27">
        <v>237.9</v>
      </c>
      <c r="F151" s="28">
        <v>173.86</v>
      </c>
      <c r="G151" s="28">
        <v>83.53</v>
      </c>
      <c r="H151" s="28">
        <v>82.89</v>
      </c>
      <c r="I151" s="28">
        <v>0</v>
      </c>
      <c r="J151" s="29">
        <f>SUM(D151:I151)</f>
        <v>11744.630000000001</v>
      </c>
      <c r="K151" s="8"/>
      <c r="L151" s="8"/>
    </row>
    <row r="152" spans="1:12">
      <c r="A152" s="8"/>
      <c r="B152" s="8"/>
      <c r="C152" s="8"/>
      <c r="D152" s="8"/>
      <c r="E152" s="8"/>
      <c r="F152" s="24"/>
      <c r="G152" s="24"/>
      <c r="H152" s="24"/>
      <c r="I152" s="24"/>
      <c r="J152" s="25"/>
      <c r="K152" s="8"/>
      <c r="L152" s="8"/>
    </row>
    <row r="153" spans="1:12" ht="15.75" thickBot="1">
      <c r="A153" s="8"/>
      <c r="B153" s="8"/>
      <c r="C153" s="8" t="s">
        <v>10</v>
      </c>
      <c r="D153" s="30">
        <f t="shared" ref="D153:I153" si="22">SUM(D151:D152)</f>
        <v>11166.45</v>
      </c>
      <c r="E153" s="30">
        <f t="shared" si="22"/>
        <v>237.9</v>
      </c>
      <c r="F153" s="30">
        <f t="shared" si="22"/>
        <v>173.86</v>
      </c>
      <c r="G153" s="30">
        <f t="shared" si="22"/>
        <v>83.53</v>
      </c>
      <c r="H153" s="30">
        <f t="shared" si="22"/>
        <v>82.89</v>
      </c>
      <c r="I153" s="30">
        <f t="shared" si="22"/>
        <v>0</v>
      </c>
      <c r="J153" s="31">
        <f>SUM(D153:I153)</f>
        <v>11744.630000000001</v>
      </c>
      <c r="K153" s="8"/>
      <c r="L153" s="8"/>
    </row>
    <row r="154" spans="1:12" ht="15.75" thickTop="1">
      <c r="A154" s="8"/>
      <c r="B154" s="8"/>
      <c r="C154" s="8"/>
      <c r="D154" s="8"/>
      <c r="E154" s="8"/>
      <c r="F154" s="15"/>
      <c r="G154" s="15" t="s">
        <v>70</v>
      </c>
      <c r="H154" s="15" t="s">
        <v>70</v>
      </c>
      <c r="I154" s="15" t="s">
        <v>70</v>
      </c>
      <c r="J154" s="20"/>
      <c r="K154" s="8"/>
      <c r="L154" s="8"/>
    </row>
    <row r="155" spans="1:12">
      <c r="A155" s="8"/>
      <c r="B155" s="8"/>
      <c r="C155" s="8"/>
      <c r="D155" s="8"/>
      <c r="E155" s="8"/>
      <c r="F155" s="15"/>
      <c r="G155" s="15"/>
      <c r="H155" s="15"/>
      <c r="I155" s="15"/>
      <c r="J155" s="20"/>
      <c r="K155" s="8"/>
      <c r="L155" s="8"/>
    </row>
    <row r="156" spans="1:12" ht="15.75" thickBot="1">
      <c r="A156" s="8">
        <v>45</v>
      </c>
      <c r="B156" s="8" t="s">
        <v>39</v>
      </c>
      <c r="C156" s="8" t="s">
        <v>12</v>
      </c>
      <c r="D156" s="27">
        <v>5857.83</v>
      </c>
      <c r="E156" s="27">
        <v>182.74</v>
      </c>
      <c r="F156" s="28">
        <v>81.96</v>
      </c>
      <c r="G156" s="28">
        <v>41.34</v>
      </c>
      <c r="H156" s="28">
        <v>0</v>
      </c>
      <c r="I156" s="28">
        <v>0</v>
      </c>
      <c r="J156" s="29">
        <f>SUM(D156:I156)</f>
        <v>6163.87</v>
      </c>
      <c r="K156" s="8"/>
      <c r="L156" s="8"/>
    </row>
    <row r="157" spans="1:12">
      <c r="A157" s="8"/>
      <c r="B157" s="8"/>
      <c r="C157" s="8"/>
      <c r="D157" s="8"/>
      <c r="E157" s="8"/>
      <c r="F157" s="24"/>
      <c r="G157" s="24"/>
      <c r="H157" s="24"/>
      <c r="I157" s="24"/>
      <c r="J157" s="25"/>
      <c r="K157" s="8"/>
      <c r="L157" s="8"/>
    </row>
    <row r="158" spans="1:12" ht="15.75" thickBot="1">
      <c r="A158" s="8"/>
      <c r="B158" s="8"/>
      <c r="C158" s="8" t="s">
        <v>10</v>
      </c>
      <c r="D158" s="30">
        <f t="shared" ref="D158:I158" si="23">SUM(D156:D157)</f>
        <v>5857.83</v>
      </c>
      <c r="E158" s="30">
        <f t="shared" si="23"/>
        <v>182.74</v>
      </c>
      <c r="F158" s="30">
        <f t="shared" si="23"/>
        <v>81.96</v>
      </c>
      <c r="G158" s="30">
        <f t="shared" si="23"/>
        <v>41.34</v>
      </c>
      <c r="H158" s="30">
        <f t="shared" si="23"/>
        <v>0</v>
      </c>
      <c r="I158" s="30">
        <f t="shared" si="23"/>
        <v>0</v>
      </c>
      <c r="J158" s="31">
        <f>SUM(D158:I158)</f>
        <v>6163.87</v>
      </c>
      <c r="K158" s="8"/>
      <c r="L158" s="8"/>
    </row>
    <row r="159" spans="1:12" ht="15.75" thickTop="1">
      <c r="A159" s="8"/>
      <c r="B159" s="8"/>
      <c r="C159" s="8"/>
      <c r="D159" s="8"/>
      <c r="E159" s="8"/>
      <c r="F159" s="15"/>
      <c r="G159" s="15"/>
      <c r="H159" s="15"/>
      <c r="I159" s="15"/>
      <c r="J159" s="20"/>
      <c r="K159" s="8"/>
      <c r="L159" s="8"/>
    </row>
    <row r="160" spans="1:12">
      <c r="A160" s="8"/>
      <c r="B160" s="8"/>
      <c r="C160" s="8"/>
      <c r="D160" s="8"/>
      <c r="E160" s="8"/>
      <c r="F160" s="15"/>
      <c r="G160" s="15"/>
      <c r="H160" s="15"/>
      <c r="I160" s="15"/>
      <c r="J160" s="20"/>
      <c r="K160" s="8"/>
      <c r="L160" s="8"/>
    </row>
    <row r="161" spans="1:12" ht="15.75" thickBot="1">
      <c r="A161" s="8">
        <v>46</v>
      </c>
      <c r="B161" s="8" t="s">
        <v>40</v>
      </c>
      <c r="C161" s="8" t="s">
        <v>12</v>
      </c>
      <c r="D161" s="27">
        <v>4733.3599999999997</v>
      </c>
      <c r="E161" s="27">
        <v>56.8</v>
      </c>
      <c r="F161" s="28">
        <v>27.82</v>
      </c>
      <c r="G161" s="28">
        <v>28.14</v>
      </c>
      <c r="H161" s="28">
        <v>26.28</v>
      </c>
      <c r="I161" s="28">
        <v>0</v>
      </c>
      <c r="J161" s="29">
        <f>SUM(D161:I161)</f>
        <v>4872.3999999999996</v>
      </c>
      <c r="K161" s="8"/>
      <c r="L161" s="8"/>
    </row>
    <row r="162" spans="1:12">
      <c r="A162" s="8"/>
      <c r="B162" s="8"/>
      <c r="C162" s="8"/>
      <c r="D162" s="8"/>
      <c r="E162" s="8"/>
      <c r="F162" s="24"/>
      <c r="G162" s="24"/>
      <c r="H162" s="24"/>
      <c r="I162" s="24"/>
      <c r="J162" s="25"/>
      <c r="K162" s="8"/>
      <c r="L162" s="8"/>
    </row>
    <row r="163" spans="1:12" ht="15.75" thickBot="1">
      <c r="A163" s="8"/>
      <c r="B163" s="8"/>
      <c r="C163" s="8" t="s">
        <v>10</v>
      </c>
      <c r="D163" s="30">
        <f t="shared" ref="D163:I163" si="24">SUM(D161:D162)</f>
        <v>4733.3599999999997</v>
      </c>
      <c r="E163" s="30">
        <f t="shared" si="24"/>
        <v>56.8</v>
      </c>
      <c r="F163" s="30">
        <f t="shared" si="24"/>
        <v>27.82</v>
      </c>
      <c r="G163" s="30">
        <f t="shared" si="24"/>
        <v>28.14</v>
      </c>
      <c r="H163" s="30">
        <f t="shared" si="24"/>
        <v>26.28</v>
      </c>
      <c r="I163" s="30">
        <f t="shared" si="24"/>
        <v>0</v>
      </c>
      <c r="J163" s="31">
        <f>SUM(D163:I163)</f>
        <v>4872.3999999999996</v>
      </c>
      <c r="K163" s="8"/>
      <c r="L163" s="8"/>
    </row>
    <row r="164" spans="1:12" ht="15.75" thickTop="1">
      <c r="A164" s="8"/>
      <c r="B164" s="8"/>
      <c r="C164" s="8"/>
      <c r="D164" s="8"/>
      <c r="E164" s="8"/>
      <c r="F164" s="15"/>
      <c r="G164" s="15"/>
      <c r="H164" s="15"/>
      <c r="I164" s="15"/>
      <c r="J164" s="20"/>
      <c r="K164" s="8"/>
      <c r="L164" s="8"/>
    </row>
    <row r="165" spans="1:12">
      <c r="A165" s="8"/>
      <c r="B165" s="8"/>
      <c r="C165" s="8"/>
      <c r="D165" s="8"/>
      <c r="E165" s="8"/>
      <c r="F165" s="15"/>
      <c r="G165" s="15"/>
      <c r="H165" s="15"/>
      <c r="I165" s="15"/>
      <c r="J165" s="20"/>
      <c r="K165" s="8"/>
      <c r="L165" s="8"/>
    </row>
    <row r="166" spans="1:12" ht="15.75" thickBot="1">
      <c r="A166" s="8">
        <v>47</v>
      </c>
      <c r="B166" s="8" t="s">
        <v>41</v>
      </c>
      <c r="C166" s="8" t="s">
        <v>12</v>
      </c>
      <c r="D166" s="27">
        <v>4864.7700000000004</v>
      </c>
      <c r="E166" s="27">
        <v>337.31</v>
      </c>
      <c r="F166" s="28">
        <v>6.18</v>
      </c>
      <c r="G166" s="28">
        <v>4.9800000000000004</v>
      </c>
      <c r="H166" s="28">
        <v>0</v>
      </c>
      <c r="I166" s="28">
        <v>0</v>
      </c>
      <c r="J166" s="29">
        <f>SUM(D166:I166)</f>
        <v>5213.2400000000007</v>
      </c>
      <c r="K166" s="8"/>
      <c r="L166" s="8"/>
    </row>
    <row r="167" spans="1:12">
      <c r="A167" s="8"/>
      <c r="B167" s="8"/>
      <c r="C167" s="8"/>
      <c r="D167" s="8"/>
      <c r="E167" s="8"/>
      <c r="F167" s="24"/>
      <c r="G167" s="24"/>
      <c r="H167" s="24"/>
      <c r="I167" s="24"/>
      <c r="J167" s="25"/>
      <c r="K167" s="8"/>
      <c r="L167" s="8"/>
    </row>
    <row r="168" spans="1:12" ht="15.75" thickBot="1">
      <c r="A168" s="8"/>
      <c r="B168" s="8"/>
      <c r="C168" s="8" t="s">
        <v>10</v>
      </c>
      <c r="D168" s="30">
        <f t="shared" ref="D168:I168" si="25">SUM(D166:D167)</f>
        <v>4864.7700000000004</v>
      </c>
      <c r="E168" s="30">
        <f t="shared" si="25"/>
        <v>337.31</v>
      </c>
      <c r="F168" s="30">
        <f t="shared" si="25"/>
        <v>6.18</v>
      </c>
      <c r="G168" s="30">
        <f t="shared" si="25"/>
        <v>4.9800000000000004</v>
      </c>
      <c r="H168" s="30">
        <f t="shared" si="25"/>
        <v>0</v>
      </c>
      <c r="I168" s="30">
        <f t="shared" si="25"/>
        <v>0</v>
      </c>
      <c r="J168" s="31">
        <f>SUM(D168:I168)</f>
        <v>5213.2400000000007</v>
      </c>
      <c r="K168" s="8"/>
      <c r="L168" s="8"/>
    </row>
    <row r="169" spans="1:12" ht="15.75" thickTop="1">
      <c r="A169" s="8"/>
      <c r="B169" s="8"/>
      <c r="C169" s="8"/>
      <c r="D169" s="8"/>
      <c r="E169" s="8"/>
      <c r="F169" s="15"/>
      <c r="G169" s="15"/>
      <c r="H169" s="15"/>
      <c r="I169" s="15"/>
      <c r="J169" s="20"/>
      <c r="K169" s="8"/>
      <c r="L169" s="8"/>
    </row>
    <row r="170" spans="1:12">
      <c r="A170" s="8"/>
      <c r="B170" s="8"/>
      <c r="C170" s="8"/>
      <c r="D170" s="8"/>
      <c r="E170" s="8"/>
      <c r="F170" s="15"/>
      <c r="G170" s="15"/>
      <c r="H170" s="15"/>
      <c r="I170" s="15"/>
      <c r="J170" s="20"/>
      <c r="K170" s="8"/>
      <c r="L170" s="8"/>
    </row>
    <row r="171" spans="1:12" ht="15.75" thickBot="1">
      <c r="A171" s="8">
        <v>48</v>
      </c>
      <c r="B171" s="8" t="s">
        <v>42</v>
      </c>
      <c r="C171" s="8" t="s">
        <v>12</v>
      </c>
      <c r="D171" s="27">
        <v>9761.91</v>
      </c>
      <c r="E171" s="27">
        <v>5.5</v>
      </c>
      <c r="F171" s="28">
        <v>0</v>
      </c>
      <c r="G171" s="28">
        <v>0</v>
      </c>
      <c r="H171" s="28">
        <v>0</v>
      </c>
      <c r="I171" s="28">
        <v>0</v>
      </c>
      <c r="J171" s="29">
        <f>SUM(D171:I171)</f>
        <v>9767.41</v>
      </c>
      <c r="K171" s="8"/>
      <c r="L171" s="8"/>
    </row>
    <row r="172" spans="1:12">
      <c r="A172" s="8"/>
      <c r="B172" s="8"/>
      <c r="C172" s="8"/>
      <c r="D172" s="8"/>
      <c r="E172" s="8"/>
      <c r="F172" s="15"/>
      <c r="G172" s="15"/>
      <c r="H172" s="15"/>
      <c r="I172" s="15"/>
      <c r="J172" s="20"/>
      <c r="K172" s="8"/>
      <c r="L172" s="8"/>
    </row>
    <row r="173" spans="1:12" ht="15.75" thickBot="1">
      <c r="A173" s="8"/>
      <c r="B173" s="8"/>
      <c r="C173" s="8" t="s">
        <v>10</v>
      </c>
      <c r="D173" s="30">
        <f t="shared" ref="D173:I173" si="26">SUM(D171:D172)</f>
        <v>9761.91</v>
      </c>
      <c r="E173" s="30">
        <f t="shared" si="26"/>
        <v>5.5</v>
      </c>
      <c r="F173" s="30">
        <f t="shared" si="26"/>
        <v>0</v>
      </c>
      <c r="G173" s="30">
        <f t="shared" si="26"/>
        <v>0</v>
      </c>
      <c r="H173" s="30">
        <f t="shared" si="26"/>
        <v>0</v>
      </c>
      <c r="I173" s="30">
        <f t="shared" si="26"/>
        <v>0</v>
      </c>
      <c r="J173" s="31">
        <f>SUM(D173:I173)</f>
        <v>9767.41</v>
      </c>
      <c r="K173" s="8"/>
      <c r="L173" s="8"/>
    </row>
    <row r="174" spans="1:12" ht="15.75" thickTop="1">
      <c r="A174" s="8"/>
      <c r="B174" s="8"/>
      <c r="C174" s="8"/>
      <c r="D174" s="8"/>
      <c r="E174" s="8"/>
      <c r="F174" s="15"/>
      <c r="G174" s="15"/>
      <c r="H174" s="15"/>
      <c r="I174" s="15"/>
      <c r="J174" s="20"/>
      <c r="K174" s="8"/>
      <c r="L174" s="8"/>
    </row>
    <row r="175" spans="1:12">
      <c r="A175" s="8"/>
      <c r="B175" s="8"/>
      <c r="C175" s="8"/>
      <c r="D175" s="8"/>
      <c r="E175" s="8"/>
      <c r="F175" s="15"/>
      <c r="G175" s="15"/>
      <c r="H175" s="15"/>
      <c r="I175" s="15"/>
      <c r="J175" s="20"/>
      <c r="K175" s="8"/>
      <c r="L175" s="8"/>
    </row>
    <row r="176" spans="1:12" ht="15.75" thickBot="1">
      <c r="A176" s="8">
        <v>49</v>
      </c>
      <c r="B176" s="8" t="s">
        <v>43</v>
      </c>
      <c r="C176" s="8" t="s">
        <v>12</v>
      </c>
      <c r="D176" s="27">
        <v>14085.33</v>
      </c>
      <c r="E176" s="27">
        <v>562.21</v>
      </c>
      <c r="F176" s="28">
        <v>331.01</v>
      </c>
      <c r="G176" s="28">
        <v>67.2</v>
      </c>
      <c r="H176" s="28">
        <v>66.349999999999994</v>
      </c>
      <c r="I176" s="28">
        <v>0</v>
      </c>
      <c r="J176" s="29">
        <f>SUM(D176:I176)</f>
        <v>15112.100000000002</v>
      </c>
      <c r="K176" s="8"/>
      <c r="L176" s="8"/>
    </row>
    <row r="177" spans="1:12">
      <c r="A177" s="8"/>
      <c r="B177" s="8"/>
      <c r="C177" s="8"/>
      <c r="D177" s="8"/>
      <c r="E177" s="8"/>
      <c r="F177" s="24"/>
      <c r="G177" s="24"/>
      <c r="H177" s="24"/>
      <c r="I177" s="24"/>
      <c r="J177" s="25"/>
      <c r="K177" s="8"/>
      <c r="L177" s="8"/>
    </row>
    <row r="178" spans="1:12" ht="15.75" thickBot="1">
      <c r="A178" s="8"/>
      <c r="B178" s="8"/>
      <c r="C178" s="8" t="s">
        <v>10</v>
      </c>
      <c r="D178" s="30">
        <f t="shared" ref="D178:I178" si="27">SUM(D176:D177)</f>
        <v>14085.33</v>
      </c>
      <c r="E178" s="30">
        <f t="shared" si="27"/>
        <v>562.21</v>
      </c>
      <c r="F178" s="30">
        <f t="shared" si="27"/>
        <v>331.01</v>
      </c>
      <c r="G178" s="30">
        <f t="shared" si="27"/>
        <v>67.2</v>
      </c>
      <c r="H178" s="30">
        <f t="shared" si="27"/>
        <v>66.349999999999994</v>
      </c>
      <c r="I178" s="30">
        <f t="shared" si="27"/>
        <v>0</v>
      </c>
      <c r="J178" s="31">
        <f>SUM(D178:I178)</f>
        <v>15112.100000000002</v>
      </c>
      <c r="K178" s="8"/>
      <c r="L178" s="8"/>
    </row>
    <row r="179" spans="1:12" ht="15.75" thickTop="1">
      <c r="A179" s="8"/>
      <c r="B179" s="8"/>
      <c r="C179" s="8"/>
      <c r="D179" s="8"/>
      <c r="E179" s="8"/>
      <c r="F179" s="15"/>
      <c r="G179" s="15"/>
      <c r="H179" s="15"/>
      <c r="I179" s="15"/>
      <c r="J179" s="20"/>
      <c r="K179" s="8"/>
      <c r="L179" s="8"/>
    </row>
    <row r="180" spans="1:12">
      <c r="A180" s="8"/>
      <c r="B180" s="8"/>
      <c r="C180" s="8"/>
      <c r="D180" s="8"/>
      <c r="E180" s="8"/>
      <c r="F180" s="15"/>
      <c r="G180" s="15"/>
      <c r="H180" s="15"/>
      <c r="I180" s="15"/>
      <c r="J180" s="20"/>
      <c r="K180" s="8"/>
      <c r="L180" s="8"/>
    </row>
    <row r="181" spans="1:12">
      <c r="A181" s="8">
        <v>50</v>
      </c>
      <c r="B181" s="8" t="s">
        <v>44</v>
      </c>
      <c r="C181" s="8" t="s">
        <v>12</v>
      </c>
      <c r="D181" s="8">
        <v>3535.45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20">
        <f>SUM(D181:I181)</f>
        <v>3535.45</v>
      </c>
      <c r="K181" s="8"/>
      <c r="L181" s="8"/>
    </row>
    <row r="182" spans="1:12" ht="15.75" thickBot="1">
      <c r="A182" s="8"/>
      <c r="B182" s="8"/>
      <c r="C182" s="8" t="s">
        <v>13</v>
      </c>
      <c r="D182" s="33">
        <v>87.54</v>
      </c>
      <c r="E182" s="28">
        <v>0</v>
      </c>
      <c r="F182" s="28">
        <v>0</v>
      </c>
      <c r="G182" s="28">
        <v>0</v>
      </c>
      <c r="H182" s="28">
        <v>0</v>
      </c>
      <c r="I182" s="28">
        <v>0</v>
      </c>
      <c r="J182" s="29">
        <f>SUM(D182:I182)</f>
        <v>87.54</v>
      </c>
      <c r="K182" s="8"/>
      <c r="L182" s="8"/>
    </row>
    <row r="183" spans="1:12">
      <c r="A183" s="8"/>
      <c r="B183" s="8"/>
      <c r="C183" s="8"/>
      <c r="D183" s="8"/>
      <c r="E183" s="8"/>
      <c r="F183" s="15"/>
      <c r="G183" s="15"/>
      <c r="H183" s="15"/>
      <c r="I183" s="15"/>
      <c r="J183" s="20"/>
      <c r="K183" s="8"/>
      <c r="L183" s="8"/>
    </row>
    <row r="184" spans="1:12" ht="15.75" thickBot="1">
      <c r="A184" s="8"/>
      <c r="B184" s="8"/>
      <c r="C184" s="8" t="s">
        <v>10</v>
      </c>
      <c r="D184" s="30">
        <f t="shared" ref="D184:I184" si="28">SUM(D181:D182)</f>
        <v>3622.99</v>
      </c>
      <c r="E184" s="30">
        <f t="shared" si="28"/>
        <v>0</v>
      </c>
      <c r="F184" s="30">
        <f t="shared" si="28"/>
        <v>0</v>
      </c>
      <c r="G184" s="30">
        <f t="shared" si="28"/>
        <v>0</v>
      </c>
      <c r="H184" s="30">
        <f t="shared" si="28"/>
        <v>0</v>
      </c>
      <c r="I184" s="30">
        <f t="shared" si="28"/>
        <v>0</v>
      </c>
      <c r="J184" s="31">
        <f>SUM(D184:I184)</f>
        <v>3622.99</v>
      </c>
      <c r="K184" s="8"/>
      <c r="L184" s="8"/>
    </row>
    <row r="185" spans="1:12" ht="15.75" thickTop="1">
      <c r="A185" s="8"/>
      <c r="B185" s="8"/>
      <c r="C185" s="8"/>
      <c r="D185" s="8"/>
      <c r="E185" s="8"/>
      <c r="F185" s="15"/>
      <c r="G185" s="15"/>
      <c r="H185" s="15"/>
      <c r="I185" s="15"/>
      <c r="J185" s="20"/>
      <c r="K185" s="8"/>
      <c r="L185" s="8"/>
    </row>
    <row r="186" spans="1:12">
      <c r="A186" s="8"/>
      <c r="B186" s="8"/>
      <c r="C186" s="8"/>
      <c r="D186" s="8"/>
      <c r="E186" s="8"/>
      <c r="F186" s="15"/>
      <c r="G186" s="15"/>
      <c r="H186" s="15"/>
      <c r="I186" s="15"/>
      <c r="J186" s="20"/>
      <c r="K186" s="8"/>
      <c r="L186" s="8"/>
    </row>
    <row r="187" spans="1:12">
      <c r="A187" s="8">
        <v>51</v>
      </c>
      <c r="B187" s="8" t="s">
        <v>45</v>
      </c>
      <c r="C187" s="8" t="s">
        <v>12</v>
      </c>
      <c r="D187" s="8">
        <v>13319.04</v>
      </c>
      <c r="E187" s="8">
        <v>708.02</v>
      </c>
      <c r="F187" s="15">
        <v>647.64</v>
      </c>
      <c r="G187" s="15">
        <v>397.31</v>
      </c>
      <c r="H187" s="15">
        <v>286.07</v>
      </c>
      <c r="I187" s="15">
        <v>0</v>
      </c>
      <c r="J187" s="20">
        <f>SUM(D187:I187)</f>
        <v>15358.08</v>
      </c>
      <c r="K187" s="8"/>
      <c r="L187" s="8"/>
    </row>
    <row r="188" spans="1:12">
      <c r="A188" s="8"/>
      <c r="B188" s="8"/>
      <c r="C188" s="8" t="s">
        <v>13</v>
      </c>
      <c r="D188" s="26">
        <v>0</v>
      </c>
      <c r="E188" s="26">
        <v>0</v>
      </c>
      <c r="F188" s="15">
        <v>0</v>
      </c>
      <c r="G188" s="15">
        <v>0</v>
      </c>
      <c r="H188" s="15">
        <v>0</v>
      </c>
      <c r="I188" s="15">
        <v>0</v>
      </c>
      <c r="J188" s="20">
        <f>SUM(D188:I188)</f>
        <v>0</v>
      </c>
      <c r="K188" s="8"/>
      <c r="L188" s="8"/>
    </row>
    <row r="189" spans="1:12" ht="15.75" thickBot="1">
      <c r="A189" s="8"/>
      <c r="B189" s="8"/>
      <c r="C189" s="8" t="s">
        <v>46</v>
      </c>
      <c r="D189" s="27">
        <v>271.64</v>
      </c>
      <c r="E189" s="27">
        <v>14.5</v>
      </c>
      <c r="F189" s="28">
        <v>13.35</v>
      </c>
      <c r="G189" s="28">
        <v>8.02</v>
      </c>
      <c r="H189" s="28">
        <v>6.02</v>
      </c>
      <c r="I189" s="28">
        <v>0</v>
      </c>
      <c r="J189" s="29">
        <f>SUM(D189:I189)</f>
        <v>313.52999999999997</v>
      </c>
      <c r="K189" s="8"/>
      <c r="L189" s="8"/>
    </row>
    <row r="190" spans="1:12">
      <c r="A190" s="8"/>
      <c r="B190" s="8"/>
      <c r="C190" s="8"/>
      <c r="D190" s="8"/>
      <c r="E190" s="8"/>
      <c r="F190" s="15"/>
      <c r="G190" s="15"/>
      <c r="H190" s="15"/>
      <c r="I190" s="15"/>
      <c r="J190" s="20"/>
      <c r="K190" s="8"/>
      <c r="L190" s="8"/>
    </row>
    <row r="191" spans="1:12" ht="15.75" thickBot="1">
      <c r="A191" s="8"/>
      <c r="B191" s="8"/>
      <c r="C191" s="8" t="s">
        <v>10</v>
      </c>
      <c r="D191" s="30">
        <f t="shared" ref="D191:I191" si="29">SUM(D187:D189)</f>
        <v>13590.68</v>
      </c>
      <c r="E191" s="30">
        <f t="shared" si="29"/>
        <v>722.52</v>
      </c>
      <c r="F191" s="30">
        <f t="shared" si="29"/>
        <v>660.99</v>
      </c>
      <c r="G191" s="30">
        <f t="shared" si="29"/>
        <v>405.33</v>
      </c>
      <c r="H191" s="30">
        <f t="shared" si="29"/>
        <v>292.08999999999997</v>
      </c>
      <c r="I191" s="30">
        <f t="shared" si="29"/>
        <v>0</v>
      </c>
      <c r="J191" s="31">
        <f>SUM(D191:I191)</f>
        <v>15671.61</v>
      </c>
      <c r="K191" s="8"/>
      <c r="L191" s="8"/>
    </row>
    <row r="192" spans="1:12" ht="15.75" thickTop="1">
      <c r="A192" s="8"/>
      <c r="B192" s="8"/>
      <c r="C192" s="8"/>
      <c r="D192" s="8"/>
      <c r="E192" s="8"/>
      <c r="F192" s="15"/>
      <c r="G192" s="15"/>
      <c r="H192" s="15"/>
      <c r="I192" s="15"/>
      <c r="J192" s="20"/>
      <c r="K192" s="8"/>
      <c r="L192" s="8"/>
    </row>
    <row r="193" spans="1:12">
      <c r="A193" s="8"/>
      <c r="B193" s="8"/>
      <c r="C193" s="8"/>
      <c r="D193" s="8"/>
      <c r="E193" s="8"/>
      <c r="F193" s="15"/>
      <c r="G193" s="15"/>
      <c r="H193" s="15"/>
      <c r="I193" s="15"/>
      <c r="J193" s="20"/>
      <c r="K193" s="8"/>
      <c r="L193" s="8"/>
    </row>
    <row r="194" spans="1:12">
      <c r="A194" s="8">
        <v>52</v>
      </c>
      <c r="B194" s="8" t="s">
        <v>47</v>
      </c>
      <c r="C194" s="8" t="s">
        <v>12</v>
      </c>
      <c r="D194" s="26">
        <v>8480.4599999999991</v>
      </c>
      <c r="E194" s="26">
        <v>188.52</v>
      </c>
      <c r="F194" s="15">
        <v>0</v>
      </c>
      <c r="G194" s="15">
        <v>0</v>
      </c>
      <c r="H194" s="15">
        <v>0</v>
      </c>
      <c r="I194" s="15">
        <v>0</v>
      </c>
      <c r="J194" s="20">
        <f>SUM(D194:I194)</f>
        <v>8668.98</v>
      </c>
      <c r="K194" s="8"/>
      <c r="L194" s="8"/>
    </row>
    <row r="195" spans="1:12" ht="15.75" thickBot="1">
      <c r="A195" s="8"/>
      <c r="B195" s="8"/>
      <c r="C195" s="8" t="s">
        <v>13</v>
      </c>
      <c r="D195" s="33">
        <v>0</v>
      </c>
      <c r="E195" s="33">
        <v>0</v>
      </c>
      <c r="F195" s="28">
        <v>0</v>
      </c>
      <c r="G195" s="28">
        <v>0</v>
      </c>
      <c r="H195" s="28">
        <v>0</v>
      </c>
      <c r="I195" s="28">
        <v>0</v>
      </c>
      <c r="J195" s="34">
        <v>0</v>
      </c>
      <c r="K195" s="8"/>
      <c r="L195" s="8"/>
    </row>
    <row r="196" spans="1:12">
      <c r="A196" s="8"/>
      <c r="B196" s="8"/>
      <c r="C196" s="8"/>
      <c r="D196" s="8"/>
      <c r="E196" s="8"/>
      <c r="F196" s="15"/>
      <c r="G196" s="15"/>
      <c r="H196" s="15"/>
      <c r="I196" s="15"/>
      <c r="J196" s="20"/>
      <c r="K196" s="8"/>
      <c r="L196" s="8"/>
    </row>
    <row r="197" spans="1:12" ht="15.75" thickBot="1">
      <c r="A197" s="8"/>
      <c r="B197" s="8"/>
      <c r="C197" s="8" t="s">
        <v>10</v>
      </c>
      <c r="D197" s="30">
        <f t="shared" ref="D197:I197" si="30">SUM(D194:D195)</f>
        <v>8480.4599999999991</v>
      </c>
      <c r="E197" s="30">
        <f t="shared" si="30"/>
        <v>188.52</v>
      </c>
      <c r="F197" s="30">
        <f t="shared" si="30"/>
        <v>0</v>
      </c>
      <c r="G197" s="30">
        <f t="shared" si="30"/>
        <v>0</v>
      </c>
      <c r="H197" s="30">
        <f t="shared" si="30"/>
        <v>0</v>
      </c>
      <c r="I197" s="30">
        <f t="shared" si="30"/>
        <v>0</v>
      </c>
      <c r="J197" s="31">
        <f>SUM(D197:I197)</f>
        <v>8668.98</v>
      </c>
      <c r="K197" s="8"/>
      <c r="L197" s="8"/>
    </row>
    <row r="198" spans="1:12" ht="15.75" thickTop="1">
      <c r="A198" s="8"/>
      <c r="B198" s="8"/>
      <c r="C198" s="8"/>
      <c r="D198" s="8"/>
      <c r="E198" s="8"/>
      <c r="F198" s="15"/>
      <c r="G198" s="15"/>
      <c r="H198" s="15"/>
      <c r="I198" s="15"/>
      <c r="J198" s="20"/>
      <c r="K198" s="8"/>
      <c r="L198" s="8"/>
    </row>
    <row r="199" spans="1:12">
      <c r="A199" s="8"/>
      <c r="B199" s="8"/>
      <c r="C199" s="8"/>
      <c r="D199" s="8"/>
      <c r="E199" s="8"/>
      <c r="F199" s="15"/>
      <c r="G199" s="15"/>
      <c r="H199" s="15"/>
      <c r="I199" s="15"/>
      <c r="J199" s="20"/>
      <c r="K199" s="8"/>
      <c r="L199" s="8"/>
    </row>
    <row r="200" spans="1:12">
      <c r="A200" s="8">
        <v>53</v>
      </c>
      <c r="B200" s="8" t="s">
        <v>48</v>
      </c>
      <c r="C200" s="8" t="s">
        <v>12</v>
      </c>
      <c r="D200" s="8">
        <v>14217.7</v>
      </c>
      <c r="E200" s="8">
        <v>316.52</v>
      </c>
      <c r="F200" s="15">
        <v>151.51</v>
      </c>
      <c r="G200" s="15">
        <v>83.24</v>
      </c>
      <c r="H200" s="15">
        <v>79.39</v>
      </c>
      <c r="I200" s="15">
        <v>0</v>
      </c>
      <c r="J200" s="20">
        <f>SUM(D200:I200)</f>
        <v>14848.36</v>
      </c>
      <c r="K200" s="8"/>
      <c r="L200" s="8"/>
    </row>
    <row r="201" spans="1:12">
      <c r="A201" s="8"/>
      <c r="B201" s="8"/>
      <c r="C201" s="8" t="s">
        <v>35</v>
      </c>
      <c r="D201" s="8">
        <v>764.2</v>
      </c>
      <c r="E201" s="8">
        <v>13.7</v>
      </c>
      <c r="F201" s="15">
        <v>6.75</v>
      </c>
      <c r="G201" s="15">
        <v>3.63</v>
      </c>
      <c r="H201" s="15">
        <v>3.17</v>
      </c>
      <c r="I201" s="15">
        <v>0</v>
      </c>
      <c r="J201" s="20">
        <f>SUM(D201:I201)</f>
        <v>791.45</v>
      </c>
      <c r="K201" s="8"/>
      <c r="L201" s="8"/>
    </row>
    <row r="202" spans="1:12">
      <c r="A202" s="8"/>
      <c r="B202" s="8"/>
      <c r="C202" s="8" t="s">
        <v>97</v>
      </c>
      <c r="D202" s="8">
        <v>351.77</v>
      </c>
      <c r="E202" s="8"/>
      <c r="F202" s="15"/>
      <c r="G202" s="15"/>
      <c r="H202" s="15"/>
      <c r="I202" s="15"/>
      <c r="J202" s="20">
        <f>SUM(D202:I202)</f>
        <v>351.77</v>
      </c>
      <c r="K202" s="8"/>
      <c r="L202" s="8"/>
    </row>
    <row r="203" spans="1:12" ht="15.75" thickBot="1">
      <c r="A203" s="8"/>
      <c r="B203" s="8"/>
      <c r="C203" s="8" t="s">
        <v>98</v>
      </c>
      <c r="D203" s="27">
        <v>2292.6999999999998</v>
      </c>
      <c r="E203" s="27"/>
      <c r="F203" s="28"/>
      <c r="G203" s="28"/>
      <c r="H203" s="28"/>
      <c r="I203" s="28"/>
      <c r="J203" s="29">
        <f>SUM(D203:I203)</f>
        <v>2292.6999999999998</v>
      </c>
      <c r="K203" s="8"/>
      <c r="L203" s="8"/>
    </row>
    <row r="204" spans="1:12">
      <c r="A204" s="8"/>
      <c r="B204" s="8"/>
      <c r="C204" s="8"/>
      <c r="D204" s="8"/>
      <c r="E204" s="8"/>
      <c r="F204" s="15"/>
      <c r="G204" s="15"/>
      <c r="H204" s="15"/>
      <c r="I204" s="15"/>
      <c r="J204" s="20"/>
      <c r="K204" s="8"/>
      <c r="L204" s="8"/>
    </row>
    <row r="205" spans="1:12" ht="15.75" thickBot="1">
      <c r="A205" s="8"/>
      <c r="B205" s="8"/>
      <c r="C205" s="8" t="s">
        <v>10</v>
      </c>
      <c r="D205" s="30">
        <f t="shared" ref="D205:J205" si="31">SUM(D200:D204)</f>
        <v>17626.370000000003</v>
      </c>
      <c r="E205" s="30">
        <f t="shared" si="31"/>
        <v>330.21999999999997</v>
      </c>
      <c r="F205" s="30">
        <f t="shared" si="31"/>
        <v>158.26</v>
      </c>
      <c r="G205" s="30">
        <f t="shared" si="31"/>
        <v>86.86999999999999</v>
      </c>
      <c r="H205" s="30">
        <f t="shared" si="31"/>
        <v>82.56</v>
      </c>
      <c r="I205" s="30">
        <f t="shared" si="31"/>
        <v>0</v>
      </c>
      <c r="J205" s="30">
        <f t="shared" si="31"/>
        <v>18284.280000000002</v>
      </c>
      <c r="K205" s="8"/>
      <c r="L205" s="8"/>
    </row>
    <row r="206" spans="1:12" ht="15.75" thickTop="1">
      <c r="A206" s="8"/>
      <c r="B206" s="8"/>
      <c r="C206" s="8"/>
      <c r="D206" s="8"/>
      <c r="E206" s="8"/>
      <c r="F206" s="15"/>
      <c r="G206" s="15"/>
      <c r="H206" s="15"/>
      <c r="I206" s="15"/>
      <c r="J206" s="20"/>
      <c r="K206" s="8"/>
      <c r="L206" s="8"/>
    </row>
    <row r="207" spans="1:12">
      <c r="A207" s="8"/>
      <c r="B207" s="8"/>
      <c r="C207" s="8"/>
      <c r="D207" s="8"/>
      <c r="E207" s="8"/>
      <c r="F207" s="15"/>
      <c r="G207" s="15"/>
      <c r="H207" s="15"/>
      <c r="I207" s="15"/>
      <c r="J207" s="20"/>
      <c r="K207" s="8"/>
      <c r="L207" s="8"/>
    </row>
    <row r="208" spans="1:12" ht="15.75" thickBot="1">
      <c r="A208" s="8">
        <v>54</v>
      </c>
      <c r="B208" s="8" t="s">
        <v>49</v>
      </c>
      <c r="C208" s="8" t="s">
        <v>12</v>
      </c>
      <c r="D208" s="27">
        <v>8574.06</v>
      </c>
      <c r="E208" s="27">
        <v>299.74</v>
      </c>
      <c r="F208" s="28">
        <v>57.84</v>
      </c>
      <c r="G208" s="28">
        <v>0</v>
      </c>
      <c r="H208" s="28">
        <v>0</v>
      </c>
      <c r="I208" s="28">
        <v>0</v>
      </c>
      <c r="J208" s="29">
        <f>SUM(D208:I208)</f>
        <v>8931.64</v>
      </c>
      <c r="K208" s="8"/>
      <c r="L208" s="8"/>
    </row>
    <row r="209" spans="1:12">
      <c r="A209" s="8"/>
      <c r="B209" s="8"/>
      <c r="C209" s="8"/>
      <c r="D209" s="8"/>
      <c r="E209" s="8"/>
      <c r="F209" s="24"/>
      <c r="G209" s="24"/>
      <c r="H209" s="24"/>
      <c r="I209" s="24"/>
      <c r="J209" s="25"/>
      <c r="K209" s="8"/>
      <c r="L209" s="8"/>
    </row>
    <row r="210" spans="1:12" ht="15.75" thickBot="1">
      <c r="A210" s="8"/>
      <c r="B210" s="8"/>
      <c r="C210" s="8" t="s">
        <v>10</v>
      </c>
      <c r="D210" s="30">
        <f t="shared" ref="D210:I210" si="32">SUM(D208:D209)</f>
        <v>8574.06</v>
      </c>
      <c r="E210" s="30">
        <f t="shared" si="32"/>
        <v>299.74</v>
      </c>
      <c r="F210" s="30">
        <f t="shared" si="32"/>
        <v>57.84</v>
      </c>
      <c r="G210" s="30">
        <f t="shared" si="32"/>
        <v>0</v>
      </c>
      <c r="H210" s="30">
        <f t="shared" si="32"/>
        <v>0</v>
      </c>
      <c r="I210" s="30">
        <f t="shared" si="32"/>
        <v>0</v>
      </c>
      <c r="J210" s="31">
        <f>SUM(D210:I210)</f>
        <v>8931.64</v>
      </c>
      <c r="K210" s="8"/>
      <c r="L210" s="8"/>
    </row>
    <row r="211" spans="1:12" ht="15.75" thickTop="1">
      <c r="A211" s="8"/>
      <c r="B211" s="8"/>
      <c r="C211" s="8"/>
      <c r="D211" s="8"/>
      <c r="E211" s="8"/>
      <c r="F211" s="15"/>
      <c r="G211" s="15"/>
      <c r="H211" s="15"/>
      <c r="I211" s="15"/>
      <c r="J211" s="20"/>
      <c r="K211" s="8"/>
      <c r="L211" s="8"/>
    </row>
    <row r="212" spans="1:12">
      <c r="A212" s="8"/>
      <c r="B212" s="8"/>
      <c r="C212" s="8"/>
      <c r="D212" s="8"/>
      <c r="E212" s="8"/>
      <c r="F212" s="15"/>
      <c r="G212" s="15"/>
      <c r="H212" s="15"/>
      <c r="I212" s="15"/>
      <c r="J212" s="20"/>
      <c r="K212" s="8"/>
      <c r="L212" s="8"/>
    </row>
    <row r="213" spans="1:12">
      <c r="A213" s="8">
        <v>55</v>
      </c>
      <c r="B213" s="8" t="s">
        <v>50</v>
      </c>
      <c r="C213" s="8" t="s">
        <v>12</v>
      </c>
      <c r="D213" s="8">
        <v>13172.25</v>
      </c>
      <c r="E213" s="8">
        <v>596.14</v>
      </c>
      <c r="F213" s="15">
        <v>292.70999999999998</v>
      </c>
      <c r="G213" s="15">
        <v>151.91999999999999</v>
      </c>
      <c r="H213" s="15">
        <v>143.33000000000001</v>
      </c>
      <c r="I213" s="15">
        <v>0</v>
      </c>
      <c r="J213" s="20">
        <f>SUM(D213:I213)</f>
        <v>14356.349999999999</v>
      </c>
      <c r="K213" s="8"/>
      <c r="L213" s="8"/>
    </row>
    <row r="214" spans="1:12" ht="15.75" thickBot="1">
      <c r="A214" s="8"/>
      <c r="B214" s="8"/>
      <c r="C214" s="8" t="s">
        <v>13</v>
      </c>
      <c r="D214" s="27">
        <v>427.14</v>
      </c>
      <c r="E214" s="27">
        <v>19.89</v>
      </c>
      <c r="F214" s="28">
        <v>10.67</v>
      </c>
      <c r="G214" s="28">
        <v>5.82</v>
      </c>
      <c r="H214" s="28">
        <v>5.78</v>
      </c>
      <c r="I214" s="28">
        <v>0</v>
      </c>
      <c r="J214" s="29">
        <f>SUM(D214:I214)</f>
        <v>469.29999999999995</v>
      </c>
      <c r="K214" s="8"/>
      <c r="L214" s="8"/>
    </row>
    <row r="215" spans="1:12">
      <c r="A215" s="8"/>
      <c r="B215" s="8"/>
      <c r="C215" s="8"/>
      <c r="D215" s="8"/>
      <c r="E215" s="8"/>
      <c r="F215" s="15"/>
      <c r="G215" s="15"/>
      <c r="H215" s="15"/>
      <c r="I215" s="15"/>
      <c r="J215" s="20"/>
      <c r="K215" s="8"/>
      <c r="L215" s="8"/>
    </row>
    <row r="216" spans="1:12" ht="15.75" thickBot="1">
      <c r="A216" s="8"/>
      <c r="B216" s="8"/>
      <c r="C216" s="8" t="s">
        <v>10</v>
      </c>
      <c r="D216" s="30">
        <f t="shared" ref="D216:I216" si="33">SUM(D213:D214)</f>
        <v>13599.39</v>
      </c>
      <c r="E216" s="30">
        <f t="shared" si="33"/>
        <v>616.03</v>
      </c>
      <c r="F216" s="30">
        <f t="shared" si="33"/>
        <v>303.38</v>
      </c>
      <c r="G216" s="30">
        <f t="shared" si="33"/>
        <v>157.73999999999998</v>
      </c>
      <c r="H216" s="30">
        <f t="shared" si="33"/>
        <v>149.11000000000001</v>
      </c>
      <c r="I216" s="30">
        <f t="shared" si="33"/>
        <v>0</v>
      </c>
      <c r="J216" s="31">
        <f>SUM(D216:I216)</f>
        <v>14825.65</v>
      </c>
      <c r="K216" s="8"/>
      <c r="L216" s="8"/>
    </row>
    <row r="217" spans="1:12" ht="15.75" thickTop="1">
      <c r="A217" s="8"/>
      <c r="B217" s="8"/>
      <c r="C217" s="8"/>
      <c r="D217" s="8"/>
      <c r="E217" s="8"/>
      <c r="F217" s="15"/>
      <c r="G217" s="15"/>
      <c r="H217" s="15"/>
      <c r="I217" s="15"/>
      <c r="J217" s="20"/>
      <c r="K217" s="8"/>
      <c r="L217" s="8"/>
    </row>
    <row r="218" spans="1:12">
      <c r="A218" s="8"/>
      <c r="B218" s="8"/>
      <c r="C218" s="8"/>
      <c r="D218" s="8"/>
      <c r="E218" s="8"/>
      <c r="F218" s="15"/>
      <c r="G218" s="15"/>
      <c r="H218" s="15"/>
      <c r="I218" s="15"/>
      <c r="J218" s="20"/>
      <c r="K218" s="8"/>
      <c r="L218" s="8"/>
    </row>
    <row r="219" spans="1:12">
      <c r="A219" s="8">
        <v>56</v>
      </c>
      <c r="B219" s="8" t="s">
        <v>51</v>
      </c>
      <c r="C219" s="8" t="s">
        <v>12</v>
      </c>
      <c r="D219" s="8">
        <v>6943.96</v>
      </c>
      <c r="E219" s="8">
        <v>104.22</v>
      </c>
      <c r="F219" s="15">
        <v>57.48</v>
      </c>
      <c r="G219" s="15">
        <v>0</v>
      </c>
      <c r="H219" s="15">
        <v>0</v>
      </c>
      <c r="I219" s="15">
        <v>0</v>
      </c>
      <c r="J219" s="20">
        <f>SUM(D219:I219)</f>
        <v>7105.66</v>
      </c>
      <c r="K219" s="8"/>
      <c r="L219" s="8"/>
    </row>
    <row r="220" spans="1:12" ht="15.75" thickBot="1">
      <c r="A220" s="8"/>
      <c r="B220" s="8"/>
      <c r="C220" s="8" t="s">
        <v>13</v>
      </c>
      <c r="D220" s="27">
        <v>140.61000000000001</v>
      </c>
      <c r="E220" s="27">
        <v>2.1</v>
      </c>
      <c r="F220" s="28">
        <v>0.42</v>
      </c>
      <c r="G220" s="28">
        <v>0</v>
      </c>
      <c r="H220" s="28">
        <v>0</v>
      </c>
      <c r="I220" s="28">
        <v>0</v>
      </c>
      <c r="J220" s="29">
        <f>SUM(D220:I220)</f>
        <v>143.13</v>
      </c>
      <c r="K220" s="8"/>
      <c r="L220" s="8"/>
    </row>
    <row r="221" spans="1:12">
      <c r="A221" s="8"/>
      <c r="B221" s="8"/>
      <c r="C221" s="8"/>
      <c r="D221" s="8"/>
      <c r="E221" s="8"/>
      <c r="F221" s="15"/>
      <c r="G221" s="15"/>
      <c r="H221" s="15"/>
      <c r="I221" s="15"/>
      <c r="J221" s="20"/>
      <c r="K221" s="8"/>
      <c r="L221" s="8"/>
    </row>
    <row r="222" spans="1:12" ht="15.75" thickBot="1">
      <c r="A222" s="8"/>
      <c r="B222" s="8"/>
      <c r="C222" s="8" t="s">
        <v>10</v>
      </c>
      <c r="D222" s="30">
        <f t="shared" ref="D222:I222" si="34">SUM(D219:D220)</f>
        <v>7084.57</v>
      </c>
      <c r="E222" s="30">
        <f t="shared" si="34"/>
        <v>106.32</v>
      </c>
      <c r="F222" s="30">
        <f t="shared" si="34"/>
        <v>57.9</v>
      </c>
      <c r="G222" s="30">
        <f t="shared" si="34"/>
        <v>0</v>
      </c>
      <c r="H222" s="30">
        <f t="shared" si="34"/>
        <v>0</v>
      </c>
      <c r="I222" s="30">
        <f t="shared" si="34"/>
        <v>0</v>
      </c>
      <c r="J222" s="31">
        <f>SUM(D222:I222)</f>
        <v>7248.7899999999991</v>
      </c>
      <c r="K222" s="8"/>
      <c r="L222" s="8"/>
    </row>
    <row r="223" spans="1:12" ht="15.75" thickTop="1">
      <c r="A223" s="8"/>
      <c r="B223" s="8"/>
      <c r="C223" s="8"/>
      <c r="D223" s="8"/>
      <c r="E223" s="8"/>
      <c r="F223" s="15"/>
      <c r="G223" s="15"/>
      <c r="H223" s="15"/>
      <c r="I223" s="15"/>
      <c r="J223" s="20"/>
      <c r="K223" s="8"/>
      <c r="L223" s="8"/>
    </row>
    <row r="224" spans="1:12">
      <c r="A224" s="8"/>
      <c r="B224" s="8"/>
      <c r="C224" s="8"/>
      <c r="D224" s="8"/>
      <c r="E224" s="8"/>
      <c r="F224" s="15"/>
      <c r="G224" s="15"/>
      <c r="H224" s="15"/>
      <c r="I224" s="15"/>
      <c r="J224" s="20"/>
      <c r="K224" s="8"/>
      <c r="L224" s="8"/>
    </row>
    <row r="225" spans="1:12">
      <c r="A225" s="8">
        <v>57</v>
      </c>
      <c r="B225" s="8" t="s">
        <v>52</v>
      </c>
      <c r="C225" s="8" t="s">
        <v>12</v>
      </c>
      <c r="D225" s="8">
        <v>23559.03</v>
      </c>
      <c r="E225" s="8">
        <v>1055.49</v>
      </c>
      <c r="F225" s="15">
        <v>524.82000000000005</v>
      </c>
      <c r="G225" s="15">
        <v>16.73</v>
      </c>
      <c r="H225" s="15">
        <v>12.32</v>
      </c>
      <c r="I225" s="15">
        <v>0</v>
      </c>
      <c r="J225" s="20">
        <f>SUM(D225:I225)</f>
        <v>25168.39</v>
      </c>
      <c r="K225" s="8"/>
      <c r="L225" s="8"/>
    </row>
    <row r="226" spans="1:12" ht="15.75" thickBot="1">
      <c r="A226" s="8"/>
      <c r="B226" s="8"/>
      <c r="C226" s="8" t="s">
        <v>13</v>
      </c>
      <c r="D226" s="27">
        <v>552.91</v>
      </c>
      <c r="E226" s="27">
        <v>23.49</v>
      </c>
      <c r="F226" s="28">
        <v>16.8</v>
      </c>
      <c r="G226" s="28">
        <v>0.47</v>
      </c>
      <c r="H226" s="28">
        <v>0.34</v>
      </c>
      <c r="I226" s="28">
        <v>0</v>
      </c>
      <c r="J226" s="29">
        <f>SUM(D226:I226)</f>
        <v>594.01</v>
      </c>
      <c r="K226" s="8"/>
      <c r="L226" s="8"/>
    </row>
    <row r="227" spans="1:12">
      <c r="A227" s="8"/>
      <c r="B227" s="8"/>
      <c r="C227" s="8"/>
      <c r="D227" s="8"/>
      <c r="E227" s="8"/>
      <c r="F227" s="15"/>
      <c r="G227" s="15"/>
      <c r="H227" s="15"/>
      <c r="I227" s="15"/>
      <c r="J227" s="20"/>
      <c r="K227" s="8"/>
      <c r="L227" s="8"/>
    </row>
    <row r="228" spans="1:12" ht="15.75" thickBot="1">
      <c r="A228" s="8"/>
      <c r="B228" s="8"/>
      <c r="C228" s="8" t="s">
        <v>10</v>
      </c>
      <c r="D228" s="30">
        <f t="shared" ref="D228:I228" si="35">SUM(D225:D226)</f>
        <v>24111.94</v>
      </c>
      <c r="E228" s="30">
        <f t="shared" si="35"/>
        <v>1078.98</v>
      </c>
      <c r="F228" s="30">
        <f t="shared" si="35"/>
        <v>541.62</v>
      </c>
      <c r="G228" s="30">
        <f t="shared" si="35"/>
        <v>17.2</v>
      </c>
      <c r="H228" s="30">
        <f t="shared" si="35"/>
        <v>12.66</v>
      </c>
      <c r="I228" s="30">
        <f t="shared" si="35"/>
        <v>0</v>
      </c>
      <c r="J228" s="31">
        <f>SUM(D228:I228)</f>
        <v>25762.399999999998</v>
      </c>
      <c r="K228" s="8"/>
      <c r="L228" s="8"/>
    </row>
    <row r="229" spans="1:12" ht="15.75" thickTop="1">
      <c r="A229" s="8"/>
      <c r="B229" s="8"/>
      <c r="C229" s="8"/>
      <c r="D229" s="8"/>
      <c r="E229" s="8"/>
      <c r="F229" s="15"/>
      <c r="G229" s="15"/>
      <c r="H229" s="15"/>
      <c r="I229" s="15"/>
      <c r="J229" s="20"/>
      <c r="K229" s="8"/>
      <c r="L229" s="8"/>
    </row>
    <row r="230" spans="1:12">
      <c r="A230" s="8"/>
      <c r="B230" s="8"/>
      <c r="C230" s="8"/>
      <c r="D230" s="8"/>
      <c r="E230" s="8"/>
      <c r="F230" s="15"/>
      <c r="G230" s="15"/>
      <c r="H230" s="15"/>
      <c r="I230" s="15"/>
      <c r="J230" s="20"/>
      <c r="K230" s="8"/>
      <c r="L230" s="8"/>
    </row>
    <row r="231" spans="1:12">
      <c r="A231" s="8">
        <v>58</v>
      </c>
      <c r="B231" s="8" t="s">
        <v>53</v>
      </c>
      <c r="C231" s="8" t="s">
        <v>12</v>
      </c>
      <c r="D231" s="8">
        <v>10756.05</v>
      </c>
      <c r="E231" s="8">
        <v>426.32</v>
      </c>
      <c r="F231" s="15">
        <v>167.37</v>
      </c>
      <c r="G231" s="15">
        <v>191.12</v>
      </c>
      <c r="H231" s="15">
        <v>0</v>
      </c>
      <c r="I231" s="15">
        <v>0</v>
      </c>
      <c r="J231" s="20">
        <f>SUM(D231:I231)</f>
        <v>11540.86</v>
      </c>
      <c r="K231" s="8"/>
      <c r="L231" s="8"/>
    </row>
    <row r="232" spans="1:12" ht="15.75" thickBot="1">
      <c r="A232" s="8"/>
      <c r="B232" s="8"/>
      <c r="C232" s="8" t="s">
        <v>13</v>
      </c>
      <c r="D232" s="33">
        <v>0</v>
      </c>
      <c r="E232" s="33">
        <v>0</v>
      </c>
      <c r="F232" s="28">
        <v>0</v>
      </c>
      <c r="G232" s="28">
        <v>0</v>
      </c>
      <c r="H232" s="28">
        <v>0</v>
      </c>
      <c r="I232" s="28">
        <v>0</v>
      </c>
      <c r="J232" s="34">
        <v>0</v>
      </c>
      <c r="K232" s="8"/>
      <c r="L232" s="8"/>
    </row>
    <row r="233" spans="1:12">
      <c r="A233" s="8"/>
      <c r="B233" s="8"/>
      <c r="C233" s="8"/>
      <c r="D233" s="8"/>
      <c r="E233" s="8"/>
      <c r="F233" s="15"/>
      <c r="G233" s="15"/>
      <c r="H233" s="15"/>
      <c r="I233" s="15"/>
      <c r="J233" s="20"/>
      <c r="K233" s="8"/>
      <c r="L233" s="8"/>
    </row>
    <row r="234" spans="1:12" ht="15.75" thickBot="1">
      <c r="A234" s="8"/>
      <c r="B234" s="8"/>
      <c r="C234" s="8" t="s">
        <v>10</v>
      </c>
      <c r="D234" s="30">
        <f t="shared" ref="D234:I234" si="36">SUM(D231:D232)</f>
        <v>10756.05</v>
      </c>
      <c r="E234" s="30">
        <f t="shared" si="36"/>
        <v>426.32</v>
      </c>
      <c r="F234" s="30">
        <f t="shared" si="36"/>
        <v>167.37</v>
      </c>
      <c r="G234" s="30">
        <f t="shared" si="36"/>
        <v>191.12</v>
      </c>
      <c r="H234" s="30">
        <f t="shared" si="36"/>
        <v>0</v>
      </c>
      <c r="I234" s="30">
        <f t="shared" si="36"/>
        <v>0</v>
      </c>
      <c r="J234" s="31">
        <f>SUM(D234:I234)</f>
        <v>11540.86</v>
      </c>
      <c r="K234" s="8"/>
      <c r="L234" s="8"/>
    </row>
    <row r="235" spans="1:12" ht="15.75" thickTop="1">
      <c r="A235" s="8"/>
      <c r="B235" s="8"/>
      <c r="C235" s="8"/>
      <c r="D235" s="8"/>
      <c r="E235" s="8"/>
      <c r="F235" s="15"/>
      <c r="G235" s="15"/>
      <c r="H235" s="15"/>
      <c r="I235" s="15"/>
      <c r="J235" s="20"/>
      <c r="K235" s="8"/>
      <c r="L235" s="8"/>
    </row>
    <row r="236" spans="1:12">
      <c r="A236" s="8"/>
      <c r="B236" s="8"/>
      <c r="C236" s="8"/>
      <c r="D236" s="8"/>
      <c r="E236" s="8"/>
      <c r="F236" s="15"/>
      <c r="G236" s="15"/>
      <c r="H236" s="15"/>
      <c r="I236" s="15"/>
      <c r="J236" s="20"/>
      <c r="K236" s="8"/>
      <c r="L236" s="8"/>
    </row>
    <row r="237" spans="1:12">
      <c r="A237" s="8">
        <v>59</v>
      </c>
      <c r="B237" s="8" t="s">
        <v>54</v>
      </c>
      <c r="C237" s="8" t="s">
        <v>12</v>
      </c>
      <c r="D237" s="8">
        <v>11687.77</v>
      </c>
      <c r="E237" s="8">
        <v>500.42</v>
      </c>
      <c r="F237" s="15">
        <v>47.44</v>
      </c>
      <c r="G237" s="15">
        <v>6.89</v>
      </c>
      <c r="H237" s="15">
        <v>6.41</v>
      </c>
      <c r="I237" s="15">
        <v>1.02</v>
      </c>
      <c r="J237" s="20">
        <f>SUM(D237:I237)</f>
        <v>12249.95</v>
      </c>
      <c r="K237" s="8"/>
      <c r="L237" s="8"/>
    </row>
    <row r="238" spans="1:12" ht="15.75" thickBot="1">
      <c r="A238" s="8"/>
      <c r="B238" s="8"/>
      <c r="C238" s="8" t="s">
        <v>35</v>
      </c>
      <c r="D238" s="27">
        <v>652.15</v>
      </c>
      <c r="E238" s="27">
        <v>26.8</v>
      </c>
      <c r="F238" s="28">
        <v>2.75</v>
      </c>
      <c r="G238" s="28">
        <v>0</v>
      </c>
      <c r="H238" s="28">
        <v>0.79</v>
      </c>
      <c r="I238" s="28">
        <v>0.52</v>
      </c>
      <c r="J238" s="29">
        <f>SUM(D238:I238)</f>
        <v>683.00999999999988</v>
      </c>
      <c r="K238" s="8"/>
      <c r="L238" s="8"/>
    </row>
    <row r="239" spans="1:12">
      <c r="A239" s="8"/>
      <c r="B239" s="8"/>
      <c r="C239" s="8"/>
      <c r="D239" s="8"/>
      <c r="E239" s="8"/>
      <c r="F239" s="15"/>
      <c r="G239" s="15"/>
      <c r="H239" s="15"/>
      <c r="I239" s="15"/>
      <c r="J239" s="20"/>
      <c r="K239" s="8"/>
      <c r="L239" s="8"/>
    </row>
    <row r="240" spans="1:12" ht="15.75" thickBot="1">
      <c r="A240" s="8"/>
      <c r="B240" s="8"/>
      <c r="C240" s="8" t="s">
        <v>10</v>
      </c>
      <c r="D240" s="30">
        <f t="shared" ref="D240:I240" si="37">SUM(D237:D238)</f>
        <v>12339.92</v>
      </c>
      <c r="E240" s="30">
        <f t="shared" si="37"/>
        <v>527.22</v>
      </c>
      <c r="F240" s="30">
        <f t="shared" si="37"/>
        <v>50.19</v>
      </c>
      <c r="G240" s="30">
        <f t="shared" si="37"/>
        <v>6.89</v>
      </c>
      <c r="H240" s="30">
        <f t="shared" si="37"/>
        <v>7.2</v>
      </c>
      <c r="I240" s="30">
        <f t="shared" si="37"/>
        <v>1.54</v>
      </c>
      <c r="J240" s="31">
        <f>SUM(D240:I240)</f>
        <v>12932.960000000001</v>
      </c>
      <c r="K240" s="8"/>
      <c r="L240" s="8"/>
    </row>
    <row r="241" spans="1:12" ht="15.75" thickTop="1">
      <c r="A241" s="8"/>
      <c r="B241" s="8"/>
      <c r="C241" s="8"/>
      <c r="D241" s="8"/>
      <c r="E241" s="8"/>
      <c r="F241" s="15"/>
      <c r="G241" s="15"/>
      <c r="H241" s="15"/>
      <c r="I241" s="15"/>
      <c r="J241" s="20"/>
      <c r="K241" s="8"/>
      <c r="L241" s="8"/>
    </row>
    <row r="242" spans="1:12">
      <c r="A242" s="8"/>
      <c r="B242" s="8"/>
      <c r="C242" s="8"/>
      <c r="D242" s="8"/>
      <c r="E242" s="8"/>
      <c r="F242" s="15"/>
      <c r="G242" s="15"/>
      <c r="H242" s="15"/>
      <c r="I242" s="15"/>
      <c r="J242" s="20"/>
      <c r="K242" s="8"/>
      <c r="L242" s="8"/>
    </row>
    <row r="243" spans="1:12" ht="15.75" thickBot="1">
      <c r="A243" s="8">
        <v>60</v>
      </c>
      <c r="B243" s="8" t="s">
        <v>55</v>
      </c>
      <c r="C243" s="8" t="s">
        <v>12</v>
      </c>
      <c r="D243" s="27">
        <v>42218.15</v>
      </c>
      <c r="E243" s="27">
        <v>1195.19</v>
      </c>
      <c r="F243" s="28">
        <v>534.94000000000005</v>
      </c>
      <c r="G243" s="28">
        <v>82.26</v>
      </c>
      <c r="H243" s="28">
        <v>65.48</v>
      </c>
      <c r="I243" s="28">
        <v>65.069999999999993</v>
      </c>
      <c r="J243" s="29">
        <f>SUM(D243:I243)</f>
        <v>44161.090000000011</v>
      </c>
      <c r="K243" s="8"/>
      <c r="L243" s="8"/>
    </row>
    <row r="244" spans="1:12">
      <c r="A244" s="8"/>
      <c r="B244" s="8"/>
      <c r="C244" s="8"/>
      <c r="D244" s="8"/>
      <c r="E244" s="8"/>
      <c r="F244" s="15"/>
      <c r="G244" s="15"/>
      <c r="H244" s="15"/>
      <c r="I244" s="15"/>
      <c r="J244" s="20"/>
      <c r="K244" s="8"/>
      <c r="L244" s="8"/>
    </row>
    <row r="245" spans="1:12" ht="15.75" thickBot="1">
      <c r="A245" s="8"/>
      <c r="B245" s="8"/>
      <c r="C245" s="8" t="s">
        <v>10</v>
      </c>
      <c r="D245" s="30">
        <f t="shared" ref="D245:I245" si="38">SUM(D243:D244)</f>
        <v>42218.15</v>
      </c>
      <c r="E245" s="30">
        <f t="shared" si="38"/>
        <v>1195.19</v>
      </c>
      <c r="F245" s="30">
        <f t="shared" si="38"/>
        <v>534.94000000000005</v>
      </c>
      <c r="G245" s="30">
        <f t="shared" si="38"/>
        <v>82.26</v>
      </c>
      <c r="H245" s="30">
        <f t="shared" si="38"/>
        <v>65.48</v>
      </c>
      <c r="I245" s="30">
        <f t="shared" si="38"/>
        <v>65.069999999999993</v>
      </c>
      <c r="J245" s="31">
        <f>SUM(D245:I245)</f>
        <v>44161.090000000011</v>
      </c>
      <c r="K245" s="8"/>
      <c r="L245" s="8"/>
    </row>
    <row r="246" spans="1:12" ht="15.75" thickTop="1">
      <c r="A246" s="8"/>
      <c r="B246" s="8"/>
      <c r="C246" s="8"/>
      <c r="D246" s="8"/>
      <c r="E246" s="8"/>
      <c r="F246" s="15"/>
      <c r="G246" s="15"/>
      <c r="H246" s="15"/>
      <c r="I246" s="15"/>
      <c r="J246" s="20"/>
      <c r="K246" s="8"/>
      <c r="L246" s="8"/>
    </row>
    <row r="247" spans="1:12">
      <c r="A247" s="8"/>
      <c r="B247" s="8"/>
      <c r="C247" s="8"/>
      <c r="D247" s="8"/>
      <c r="E247" s="8"/>
      <c r="F247" s="15"/>
      <c r="G247" s="15"/>
      <c r="H247" s="15"/>
      <c r="I247" s="15"/>
      <c r="J247" s="20"/>
      <c r="K247" s="8"/>
      <c r="L247" s="8"/>
    </row>
    <row r="248" spans="1:12">
      <c r="A248" s="8">
        <v>61</v>
      </c>
      <c r="B248" s="8" t="s">
        <v>56</v>
      </c>
      <c r="C248" s="8" t="s">
        <v>12</v>
      </c>
      <c r="D248" s="8">
        <v>8725.98</v>
      </c>
      <c r="E248" s="8">
        <v>79.33</v>
      </c>
      <c r="F248" s="15">
        <v>70.25</v>
      </c>
      <c r="G248" s="15">
        <v>77.39</v>
      </c>
      <c r="H248" s="15">
        <v>38.380000000000003</v>
      </c>
      <c r="I248" s="15">
        <v>0</v>
      </c>
      <c r="J248" s="20">
        <f>SUM(D248:I248)</f>
        <v>8991.3299999999981</v>
      </c>
      <c r="K248" s="8"/>
      <c r="L248" s="8"/>
    </row>
    <row r="249" spans="1:12">
      <c r="A249" s="8"/>
      <c r="B249" s="8"/>
      <c r="C249" s="8" t="s">
        <v>13</v>
      </c>
      <c r="D249" s="8">
        <v>157.78</v>
      </c>
      <c r="E249" s="8">
        <v>1.31</v>
      </c>
      <c r="F249" s="15">
        <v>1</v>
      </c>
      <c r="G249" s="15">
        <v>1.36</v>
      </c>
      <c r="H249" s="15">
        <v>0.42</v>
      </c>
      <c r="I249" s="15">
        <v>0</v>
      </c>
      <c r="J249" s="20">
        <f>SUM(D249:I249)</f>
        <v>161.87</v>
      </c>
      <c r="K249" s="8"/>
      <c r="L249" s="8"/>
    </row>
    <row r="250" spans="1:12" ht="15.75" thickBot="1">
      <c r="A250" s="8"/>
      <c r="B250" s="8"/>
      <c r="C250" s="8" t="s">
        <v>99</v>
      </c>
      <c r="D250" s="27">
        <v>745.17</v>
      </c>
      <c r="E250" s="27"/>
      <c r="F250" s="28"/>
      <c r="G250" s="28"/>
      <c r="H250" s="28"/>
      <c r="I250" s="28"/>
      <c r="J250" s="29">
        <f>SUM(D250:I250)</f>
        <v>745.17</v>
      </c>
      <c r="K250" s="8"/>
      <c r="L250" s="8"/>
    </row>
    <row r="251" spans="1:12">
      <c r="A251" s="8"/>
      <c r="B251" s="8"/>
      <c r="C251" s="8"/>
      <c r="D251" s="8"/>
      <c r="E251" s="8"/>
      <c r="F251" s="15"/>
      <c r="G251" s="15"/>
      <c r="H251" s="15"/>
      <c r="I251" s="15"/>
      <c r="J251" s="20"/>
      <c r="K251" s="8"/>
      <c r="L251" s="8"/>
    </row>
    <row r="252" spans="1:12" ht="15.75" thickBot="1">
      <c r="A252" s="8"/>
      <c r="B252" s="8"/>
      <c r="C252" s="8" t="s">
        <v>10</v>
      </c>
      <c r="D252" s="30">
        <f t="shared" ref="D252:J252" si="39">SUM(D248:D250)</f>
        <v>9628.93</v>
      </c>
      <c r="E252" s="30">
        <f t="shared" si="39"/>
        <v>80.64</v>
      </c>
      <c r="F252" s="30">
        <f t="shared" si="39"/>
        <v>71.25</v>
      </c>
      <c r="G252" s="30">
        <f t="shared" si="39"/>
        <v>78.75</v>
      </c>
      <c r="H252" s="30">
        <f t="shared" si="39"/>
        <v>38.800000000000004</v>
      </c>
      <c r="I252" s="30">
        <f t="shared" si="39"/>
        <v>0</v>
      </c>
      <c r="J252" s="30">
        <f t="shared" si="39"/>
        <v>9898.369999999999</v>
      </c>
      <c r="K252" s="8"/>
      <c r="L252" s="8"/>
    </row>
    <row r="253" spans="1:12" ht="15.75" thickTop="1">
      <c r="A253" s="8"/>
      <c r="B253" s="8"/>
      <c r="C253" s="8"/>
      <c r="D253" s="8"/>
      <c r="E253" s="8"/>
      <c r="F253" s="15"/>
      <c r="G253" s="15"/>
      <c r="H253" s="15"/>
      <c r="I253" s="15"/>
      <c r="J253" s="20"/>
      <c r="K253" s="8"/>
      <c r="L253" s="8"/>
    </row>
    <row r="254" spans="1:12">
      <c r="A254" s="8"/>
      <c r="B254" s="8"/>
      <c r="C254" s="8"/>
      <c r="D254" s="8"/>
      <c r="E254" s="8"/>
      <c r="F254" s="15"/>
      <c r="G254" s="15"/>
      <c r="H254" s="15"/>
      <c r="I254" s="15"/>
      <c r="J254" s="20"/>
      <c r="K254" s="8"/>
      <c r="L254" s="8"/>
    </row>
    <row r="255" spans="1:12">
      <c r="A255" s="8">
        <v>62</v>
      </c>
      <c r="B255" s="8" t="s">
        <v>57</v>
      </c>
      <c r="C255" s="8" t="s">
        <v>12</v>
      </c>
      <c r="D255" s="8">
        <v>4282.7299999999996</v>
      </c>
      <c r="E255" s="8">
        <v>0</v>
      </c>
      <c r="F255" s="15">
        <v>0</v>
      </c>
      <c r="G255" s="15">
        <v>0</v>
      </c>
      <c r="H255" s="15">
        <v>0</v>
      </c>
      <c r="I255" s="15">
        <v>0</v>
      </c>
      <c r="J255" s="20">
        <f>SUM(D255:I255)</f>
        <v>4282.7299999999996</v>
      </c>
      <c r="K255" s="8"/>
      <c r="L255" s="8"/>
    </row>
    <row r="256" spans="1:12" ht="15.75" thickBot="1">
      <c r="A256" s="8"/>
      <c r="B256" s="8"/>
      <c r="C256" s="8" t="s">
        <v>13</v>
      </c>
      <c r="D256" s="27">
        <v>90.5</v>
      </c>
      <c r="E256" s="27">
        <v>0</v>
      </c>
      <c r="F256" s="28">
        <v>0</v>
      </c>
      <c r="G256" s="28">
        <v>0</v>
      </c>
      <c r="H256" s="28">
        <v>0</v>
      </c>
      <c r="I256" s="28">
        <v>0</v>
      </c>
      <c r="J256" s="29">
        <f>SUM(D256:I256)</f>
        <v>90.5</v>
      </c>
      <c r="K256" s="8"/>
      <c r="L256" s="8"/>
    </row>
    <row r="257" spans="1:12">
      <c r="A257" s="8"/>
      <c r="B257" s="8"/>
      <c r="C257" s="8"/>
      <c r="D257" s="8"/>
      <c r="E257" s="8"/>
      <c r="F257" s="15"/>
      <c r="G257" s="15"/>
      <c r="H257" s="15"/>
      <c r="I257" s="15"/>
      <c r="J257" s="20"/>
      <c r="K257" s="8"/>
      <c r="L257" s="8"/>
    </row>
    <row r="258" spans="1:12" ht="15.75" thickBot="1">
      <c r="A258" s="8"/>
      <c r="B258" s="8"/>
      <c r="C258" s="8" t="s">
        <v>10</v>
      </c>
      <c r="D258" s="30">
        <f t="shared" ref="D258:I258" si="40">SUM(D255:D256)</f>
        <v>4373.2299999999996</v>
      </c>
      <c r="E258" s="30">
        <f t="shared" si="40"/>
        <v>0</v>
      </c>
      <c r="F258" s="30">
        <f t="shared" si="40"/>
        <v>0</v>
      </c>
      <c r="G258" s="30">
        <f t="shared" si="40"/>
        <v>0</v>
      </c>
      <c r="H258" s="30">
        <f t="shared" si="40"/>
        <v>0</v>
      </c>
      <c r="I258" s="30">
        <f t="shared" si="40"/>
        <v>0</v>
      </c>
      <c r="J258" s="31">
        <f>SUM(D258:I258)</f>
        <v>4373.2299999999996</v>
      </c>
      <c r="K258" s="8"/>
      <c r="L258" s="8"/>
    </row>
    <row r="259" spans="1:12" ht="15.75" thickTop="1">
      <c r="A259" s="8"/>
      <c r="B259" s="8"/>
      <c r="C259" s="8"/>
      <c r="D259" s="8"/>
      <c r="E259" s="8"/>
      <c r="F259" s="15"/>
      <c r="G259" s="15"/>
      <c r="H259" s="15"/>
      <c r="I259" s="15"/>
      <c r="J259" s="20"/>
      <c r="K259" s="8"/>
      <c r="L259" s="8"/>
    </row>
    <row r="260" spans="1:12">
      <c r="A260" s="8"/>
      <c r="B260" s="8"/>
      <c r="C260" s="8"/>
      <c r="D260" s="8"/>
      <c r="E260" s="8"/>
      <c r="F260" s="15"/>
      <c r="G260" s="15"/>
      <c r="H260" s="15"/>
      <c r="I260" s="15"/>
      <c r="J260" s="20"/>
      <c r="K260" s="8"/>
      <c r="L260" s="8"/>
    </row>
    <row r="261" spans="1:12">
      <c r="A261" s="8">
        <v>63</v>
      </c>
      <c r="B261" s="8" t="s">
        <v>58</v>
      </c>
      <c r="C261" s="8" t="s">
        <v>12</v>
      </c>
      <c r="D261" s="26">
        <v>6704.63</v>
      </c>
      <c r="E261" s="26">
        <v>56.47</v>
      </c>
      <c r="F261" s="15">
        <v>55.39</v>
      </c>
      <c r="G261" s="15">
        <v>51.82</v>
      </c>
      <c r="H261" s="15">
        <v>48.6</v>
      </c>
      <c r="I261" s="15">
        <v>0</v>
      </c>
      <c r="J261" s="20">
        <f>SUM(D261:I261)</f>
        <v>6916.9100000000008</v>
      </c>
      <c r="K261" s="8"/>
      <c r="L261" s="8"/>
    </row>
    <row r="262" spans="1:12" ht="15.75" thickBot="1">
      <c r="A262" s="8"/>
      <c r="B262" s="8"/>
      <c r="C262" s="8" t="s">
        <v>13</v>
      </c>
      <c r="D262" s="27">
        <v>569.29999999999995</v>
      </c>
      <c r="E262" s="27">
        <v>4.71</v>
      </c>
      <c r="F262" s="28">
        <v>4.5999999999999996</v>
      </c>
      <c r="G262" s="28">
        <v>4.3499999999999996</v>
      </c>
      <c r="H262" s="28">
        <v>3.69</v>
      </c>
      <c r="I262" s="28">
        <v>0</v>
      </c>
      <c r="J262" s="29">
        <f>SUM(D262:I262)</f>
        <v>586.65000000000009</v>
      </c>
      <c r="K262" s="8"/>
      <c r="L262" s="8"/>
    </row>
    <row r="263" spans="1:12">
      <c r="A263" s="8"/>
      <c r="B263" s="8"/>
      <c r="C263" s="8"/>
      <c r="D263" s="8"/>
      <c r="E263" s="8"/>
      <c r="F263" s="15"/>
      <c r="G263" s="15"/>
      <c r="H263" s="15"/>
      <c r="I263" s="15"/>
      <c r="J263" s="20"/>
      <c r="K263" s="8"/>
      <c r="L263" s="8"/>
    </row>
    <row r="264" spans="1:12" ht="15.75" thickBot="1">
      <c r="A264" s="8"/>
      <c r="B264" s="8"/>
      <c r="C264" s="8" t="s">
        <v>10</v>
      </c>
      <c r="D264" s="30">
        <f t="shared" ref="D264:I264" si="41">SUM(D261:D262)</f>
        <v>7273.93</v>
      </c>
      <c r="E264" s="30">
        <f t="shared" si="41"/>
        <v>61.18</v>
      </c>
      <c r="F264" s="30">
        <f t="shared" si="41"/>
        <v>59.99</v>
      </c>
      <c r="G264" s="30">
        <f t="shared" si="41"/>
        <v>56.17</v>
      </c>
      <c r="H264" s="30">
        <f t="shared" si="41"/>
        <v>52.29</v>
      </c>
      <c r="I264" s="30">
        <f t="shared" si="41"/>
        <v>0</v>
      </c>
      <c r="J264" s="31">
        <f>SUM(D264:I264)</f>
        <v>7503.56</v>
      </c>
      <c r="K264" s="8"/>
      <c r="L264" s="8"/>
    </row>
    <row r="265" spans="1:12" ht="15.75" thickTop="1">
      <c r="A265" s="8"/>
      <c r="B265" s="8"/>
      <c r="C265" s="8"/>
      <c r="D265" s="8"/>
      <c r="E265" s="8"/>
      <c r="F265" s="15"/>
      <c r="G265" s="15"/>
      <c r="H265" s="15"/>
      <c r="I265" s="15"/>
      <c r="J265" s="20"/>
      <c r="K265" s="8"/>
      <c r="L265" s="8"/>
    </row>
    <row r="266" spans="1:12">
      <c r="A266" s="8"/>
      <c r="B266" s="8"/>
      <c r="C266" s="8"/>
      <c r="D266" s="8"/>
      <c r="E266" s="8"/>
      <c r="F266" s="15"/>
      <c r="G266" s="15"/>
      <c r="H266" s="15"/>
      <c r="I266" s="15"/>
      <c r="J266" s="20"/>
      <c r="K266" s="8"/>
      <c r="L266" s="8"/>
    </row>
    <row r="267" spans="1:12" ht="15.75" thickBot="1">
      <c r="A267" s="8">
        <v>64</v>
      </c>
      <c r="B267" s="8" t="s">
        <v>59</v>
      </c>
      <c r="C267" s="8" t="s">
        <v>12</v>
      </c>
      <c r="D267" s="27">
        <v>95903.52</v>
      </c>
      <c r="E267" s="27">
        <v>2968.99</v>
      </c>
      <c r="F267" s="28">
        <v>703.19</v>
      </c>
      <c r="G267" s="28">
        <v>306.51</v>
      </c>
      <c r="H267" s="28">
        <v>77.95</v>
      </c>
      <c r="I267" s="28">
        <v>0.17</v>
      </c>
      <c r="J267" s="29">
        <f>SUM(D267:I267)</f>
        <v>99960.33</v>
      </c>
      <c r="K267" s="8"/>
      <c r="L267" s="8"/>
    </row>
    <row r="268" spans="1:12">
      <c r="A268" s="8"/>
      <c r="B268" s="8"/>
      <c r="C268" s="8"/>
      <c r="D268" s="8"/>
      <c r="E268" s="8"/>
      <c r="F268" s="24"/>
      <c r="G268" s="24"/>
      <c r="H268" s="24"/>
      <c r="I268" s="24"/>
      <c r="J268" s="25"/>
      <c r="K268" s="8"/>
      <c r="L268" s="8"/>
    </row>
    <row r="269" spans="1:12" ht="15.75" thickBot="1">
      <c r="A269" s="8"/>
      <c r="B269" s="8"/>
      <c r="C269" s="8" t="s">
        <v>10</v>
      </c>
      <c r="D269" s="30">
        <f t="shared" ref="D269:I269" si="42">SUM(D267:D268)</f>
        <v>95903.52</v>
      </c>
      <c r="E269" s="30">
        <f t="shared" si="42"/>
        <v>2968.99</v>
      </c>
      <c r="F269" s="30">
        <f t="shared" si="42"/>
        <v>703.19</v>
      </c>
      <c r="G269" s="30">
        <f t="shared" si="42"/>
        <v>306.51</v>
      </c>
      <c r="H269" s="30">
        <f t="shared" si="42"/>
        <v>77.95</v>
      </c>
      <c r="I269" s="30">
        <f t="shared" si="42"/>
        <v>0.17</v>
      </c>
      <c r="J269" s="31">
        <f>SUM(D269:I269)</f>
        <v>99960.33</v>
      </c>
      <c r="K269" s="8"/>
      <c r="L269" s="8"/>
    </row>
    <row r="270" spans="1:12" ht="15.75" thickTop="1">
      <c r="A270" s="8"/>
      <c r="B270" s="8"/>
      <c r="C270" s="8"/>
      <c r="D270" s="8"/>
      <c r="E270" s="8"/>
      <c r="F270" s="15"/>
      <c r="G270" s="15"/>
      <c r="H270" s="15"/>
      <c r="I270" s="15"/>
      <c r="J270" s="20"/>
      <c r="K270" s="8"/>
      <c r="L270" s="8"/>
    </row>
    <row r="271" spans="1:12">
      <c r="A271" s="8"/>
      <c r="B271" s="12"/>
      <c r="C271" s="12"/>
      <c r="D271" s="12"/>
      <c r="E271" s="12"/>
      <c r="F271" s="16"/>
      <c r="G271" s="13"/>
      <c r="H271" s="13"/>
      <c r="I271" s="13"/>
      <c r="J271" s="20"/>
      <c r="K271" s="8"/>
      <c r="L271" s="8"/>
    </row>
    <row r="272" spans="1:12">
      <c r="A272" s="8">
        <v>65</v>
      </c>
      <c r="B272" s="8" t="s">
        <v>60</v>
      </c>
      <c r="C272" s="8" t="s">
        <v>12</v>
      </c>
      <c r="D272" s="8">
        <v>6015.38</v>
      </c>
      <c r="E272" s="8">
        <v>7.38</v>
      </c>
      <c r="F272" s="15">
        <v>7.11</v>
      </c>
      <c r="G272" s="15">
        <v>0</v>
      </c>
      <c r="H272" s="15">
        <v>0</v>
      </c>
      <c r="I272" s="15">
        <v>0</v>
      </c>
      <c r="J272" s="20">
        <f>SUM(D272:I272)</f>
        <v>6029.87</v>
      </c>
      <c r="K272" s="8"/>
      <c r="L272" s="8"/>
    </row>
    <row r="273" spans="1:12" ht="15.75" thickBot="1">
      <c r="A273" s="8"/>
      <c r="B273" s="8"/>
      <c r="C273" s="8" t="s">
        <v>13</v>
      </c>
      <c r="D273" s="27"/>
      <c r="E273" s="27"/>
      <c r="F273" s="28"/>
      <c r="G273" s="28"/>
      <c r="H273" s="28"/>
      <c r="I273" s="28"/>
      <c r="J273" s="29"/>
      <c r="K273" s="8"/>
      <c r="L273" s="8"/>
    </row>
    <row r="274" spans="1:12">
      <c r="A274" s="8"/>
      <c r="B274" s="8"/>
      <c r="C274" s="8"/>
      <c r="D274" s="8"/>
      <c r="E274" s="8"/>
      <c r="F274" s="15"/>
      <c r="G274" s="15"/>
      <c r="H274" s="15"/>
      <c r="I274" s="15"/>
      <c r="J274" s="20"/>
      <c r="K274" s="8"/>
      <c r="L274" s="8"/>
    </row>
    <row r="275" spans="1:12" ht="15.75" thickBot="1">
      <c r="A275" s="8"/>
      <c r="B275" s="8"/>
      <c r="C275" s="8" t="s">
        <v>10</v>
      </c>
      <c r="D275" s="30">
        <f t="shared" ref="D275:I275" si="43">SUM(D272:D273)</f>
        <v>6015.38</v>
      </c>
      <c r="E275" s="30">
        <f t="shared" si="43"/>
        <v>7.38</v>
      </c>
      <c r="F275" s="30">
        <f t="shared" si="43"/>
        <v>7.11</v>
      </c>
      <c r="G275" s="30">
        <f t="shared" si="43"/>
        <v>0</v>
      </c>
      <c r="H275" s="30">
        <f t="shared" si="43"/>
        <v>0</v>
      </c>
      <c r="I275" s="30">
        <f t="shared" si="43"/>
        <v>0</v>
      </c>
      <c r="J275" s="31">
        <f>SUM(D275:I275)</f>
        <v>6029.87</v>
      </c>
      <c r="K275" s="8"/>
      <c r="L275" s="8"/>
    </row>
    <row r="276" spans="1:12" ht="15.75" thickTop="1">
      <c r="A276" s="8"/>
      <c r="B276" s="8"/>
      <c r="C276" s="8"/>
      <c r="D276" s="8"/>
      <c r="E276" s="8"/>
      <c r="F276" s="15"/>
      <c r="G276" s="15"/>
      <c r="H276" s="15"/>
      <c r="I276" s="15"/>
      <c r="J276" s="20"/>
      <c r="K276" s="8"/>
      <c r="L276" s="8"/>
    </row>
    <row r="277" spans="1:12">
      <c r="A277" s="8"/>
      <c r="B277" s="8"/>
      <c r="C277" s="8"/>
      <c r="D277" s="8"/>
      <c r="E277" s="8"/>
      <c r="F277" s="15"/>
      <c r="G277" s="15"/>
      <c r="H277" s="15"/>
      <c r="I277" s="15"/>
      <c r="J277" s="20"/>
      <c r="K277" s="8"/>
      <c r="L277" s="8"/>
    </row>
    <row r="278" spans="1:12">
      <c r="A278" s="8">
        <v>66</v>
      </c>
      <c r="B278" s="8" t="s">
        <v>61</v>
      </c>
      <c r="C278" s="8" t="s">
        <v>12</v>
      </c>
      <c r="D278" s="8">
        <v>9383.08</v>
      </c>
      <c r="E278" s="8">
        <v>105.45</v>
      </c>
      <c r="F278" s="15">
        <v>68.16</v>
      </c>
      <c r="G278" s="15">
        <v>69.17</v>
      </c>
      <c r="H278" s="15">
        <v>68.849999999999994</v>
      </c>
      <c r="I278" s="15">
        <v>0</v>
      </c>
      <c r="J278" s="20">
        <f>SUM(D278:I278)</f>
        <v>9694.7100000000009</v>
      </c>
      <c r="K278" s="8"/>
      <c r="L278" s="8"/>
    </row>
    <row r="279" spans="1:12">
      <c r="A279" s="8"/>
      <c r="B279" s="8"/>
      <c r="C279" s="8" t="s">
        <v>13</v>
      </c>
      <c r="D279" s="26">
        <v>0</v>
      </c>
      <c r="E279" s="26">
        <v>0</v>
      </c>
      <c r="F279" s="15">
        <v>0</v>
      </c>
      <c r="G279" s="15">
        <v>0</v>
      </c>
      <c r="H279" s="15">
        <v>0</v>
      </c>
      <c r="I279" s="15">
        <v>0</v>
      </c>
      <c r="J279" s="35">
        <f>SUM(D279:I279)</f>
        <v>0</v>
      </c>
      <c r="K279" s="8"/>
      <c r="L279" s="8"/>
    </row>
    <row r="280" spans="1:12" ht="15.75" thickBot="1">
      <c r="A280" s="8"/>
      <c r="B280" s="8"/>
      <c r="C280" s="8" t="s">
        <v>73</v>
      </c>
      <c r="D280" s="27">
        <v>634.63</v>
      </c>
      <c r="E280" s="27">
        <v>7.16</v>
      </c>
      <c r="F280" s="28">
        <v>4.8</v>
      </c>
      <c r="G280" s="27">
        <v>4.72</v>
      </c>
      <c r="H280" s="27">
        <v>4.79</v>
      </c>
      <c r="I280" s="27">
        <v>0</v>
      </c>
      <c r="J280" s="29">
        <f>SUM(D280:I280)</f>
        <v>656.09999999999991</v>
      </c>
      <c r="K280" s="8"/>
      <c r="L280" s="8"/>
    </row>
    <row r="281" spans="1:12">
      <c r="A281" s="8"/>
      <c r="B281" s="8"/>
      <c r="C281" s="8"/>
      <c r="D281" s="8"/>
      <c r="E281" s="8"/>
      <c r="F281" s="15"/>
      <c r="G281" s="8"/>
      <c r="H281" s="8"/>
      <c r="I281" s="8"/>
      <c r="J281" s="20"/>
      <c r="K281" s="8"/>
      <c r="L281" s="8"/>
    </row>
    <row r="282" spans="1:12" ht="15.75" thickBot="1">
      <c r="A282" s="8"/>
      <c r="B282" s="8"/>
      <c r="C282" s="8" t="s">
        <v>10</v>
      </c>
      <c r="D282" s="30">
        <f t="shared" ref="D282:I282" si="44">SUM(D278:D280)</f>
        <v>10017.709999999999</v>
      </c>
      <c r="E282" s="30">
        <f t="shared" si="44"/>
        <v>112.61</v>
      </c>
      <c r="F282" s="30">
        <f t="shared" si="44"/>
        <v>72.959999999999994</v>
      </c>
      <c r="G282" s="30">
        <f t="shared" si="44"/>
        <v>73.89</v>
      </c>
      <c r="H282" s="30">
        <f t="shared" si="44"/>
        <v>73.64</v>
      </c>
      <c r="I282" s="30">
        <f t="shared" si="44"/>
        <v>0</v>
      </c>
      <c r="J282" s="31">
        <f>SUM(D282:I282)</f>
        <v>10350.809999999998</v>
      </c>
      <c r="K282" s="8"/>
      <c r="L282" s="8"/>
    </row>
    <row r="283" spans="1:12" ht="15.75" thickTop="1">
      <c r="A283" s="8"/>
      <c r="B283" s="8"/>
      <c r="C283" s="8"/>
      <c r="D283" s="8"/>
      <c r="E283" s="8"/>
      <c r="F283" s="15"/>
      <c r="G283" s="15"/>
      <c r="H283" s="15"/>
      <c r="I283" s="15"/>
      <c r="J283" s="20"/>
      <c r="K283" s="8"/>
      <c r="L283" s="8"/>
    </row>
    <row r="284" spans="1:12">
      <c r="A284" s="8"/>
      <c r="B284" s="8"/>
      <c r="C284" s="8"/>
      <c r="D284" s="8"/>
      <c r="E284" s="8"/>
      <c r="F284" s="15"/>
      <c r="G284" s="15"/>
      <c r="H284" s="15"/>
      <c r="I284" s="15"/>
      <c r="J284" s="20"/>
      <c r="K284" s="8"/>
      <c r="L284" s="8"/>
    </row>
    <row r="285" spans="1:12">
      <c r="A285" s="8">
        <v>67</v>
      </c>
      <c r="B285" s="8" t="s">
        <v>62</v>
      </c>
      <c r="C285" s="8" t="s">
        <v>12</v>
      </c>
      <c r="D285" s="8">
        <v>9231.58</v>
      </c>
      <c r="E285" s="8">
        <v>383.42</v>
      </c>
      <c r="F285" s="15">
        <v>221.82</v>
      </c>
      <c r="G285" s="15">
        <v>72.17</v>
      </c>
      <c r="H285" s="15">
        <v>0</v>
      </c>
      <c r="I285" s="15">
        <v>0</v>
      </c>
      <c r="J285" s="20">
        <f>SUM(D285:I285)</f>
        <v>9908.99</v>
      </c>
      <c r="K285" s="8"/>
      <c r="L285" s="8"/>
    </row>
    <row r="286" spans="1:12" ht="15.75" thickBot="1">
      <c r="A286" s="8"/>
      <c r="B286" s="8"/>
      <c r="C286" s="8" t="s">
        <v>13</v>
      </c>
      <c r="D286" s="27">
        <v>305.91000000000003</v>
      </c>
      <c r="E286" s="27">
        <v>12.93</v>
      </c>
      <c r="F286" s="28">
        <v>8.23</v>
      </c>
      <c r="G286" s="28">
        <v>2.7</v>
      </c>
      <c r="H286" s="28">
        <v>0</v>
      </c>
      <c r="I286" s="28">
        <v>0</v>
      </c>
      <c r="J286" s="29">
        <f>SUM(D286:I286)</f>
        <v>329.77000000000004</v>
      </c>
      <c r="K286" s="8"/>
      <c r="L286" s="8"/>
    </row>
    <row r="287" spans="1:12">
      <c r="A287" s="8"/>
      <c r="B287" s="8"/>
      <c r="C287" s="8"/>
      <c r="D287" s="8"/>
      <c r="E287" s="8"/>
      <c r="F287" s="15"/>
      <c r="G287" s="15"/>
      <c r="H287" s="15"/>
      <c r="I287" s="15"/>
      <c r="J287" s="20"/>
      <c r="K287" s="8"/>
      <c r="L287" s="8"/>
    </row>
    <row r="288" spans="1:12" ht="15.75" thickBot="1">
      <c r="A288" s="8"/>
      <c r="B288" s="8"/>
      <c r="C288" s="8" t="s">
        <v>10</v>
      </c>
      <c r="D288" s="30">
        <f t="shared" ref="D288:I288" si="45">SUM(D285:D286)</f>
        <v>9537.49</v>
      </c>
      <c r="E288" s="30">
        <f t="shared" si="45"/>
        <v>396.35</v>
      </c>
      <c r="F288" s="30">
        <f t="shared" si="45"/>
        <v>230.04999999999998</v>
      </c>
      <c r="G288" s="30">
        <f t="shared" si="45"/>
        <v>74.87</v>
      </c>
      <c r="H288" s="30">
        <f t="shared" si="45"/>
        <v>0</v>
      </c>
      <c r="I288" s="30">
        <f t="shared" si="45"/>
        <v>0</v>
      </c>
      <c r="J288" s="31">
        <f>SUM(D288:I288)</f>
        <v>10238.76</v>
      </c>
      <c r="K288" s="8"/>
      <c r="L288" s="8"/>
    </row>
    <row r="289" spans="1:12" ht="15.75" thickTop="1">
      <c r="A289" s="8"/>
      <c r="B289" s="8"/>
      <c r="C289" s="8"/>
      <c r="D289" s="8"/>
      <c r="E289" s="8"/>
      <c r="F289" s="15"/>
      <c r="G289" s="15"/>
      <c r="H289" s="15"/>
      <c r="I289" s="15"/>
      <c r="J289" s="20"/>
      <c r="K289" s="8"/>
      <c r="L289" s="8"/>
    </row>
    <row r="290" spans="1:12">
      <c r="A290" s="8"/>
      <c r="B290" s="8"/>
      <c r="C290" s="8"/>
      <c r="D290" s="8"/>
      <c r="E290" s="8"/>
      <c r="F290" s="15"/>
      <c r="G290" s="15"/>
      <c r="H290" s="15"/>
      <c r="I290" s="15"/>
      <c r="J290" s="20"/>
      <c r="K290" s="8"/>
      <c r="L290" s="8"/>
    </row>
    <row r="291" spans="1:12">
      <c r="A291" s="8">
        <v>68</v>
      </c>
      <c r="B291" s="8" t="s">
        <v>63</v>
      </c>
      <c r="C291" s="8" t="s">
        <v>12</v>
      </c>
      <c r="D291" s="8">
        <v>7284.13</v>
      </c>
      <c r="E291" s="8">
        <v>240.2</v>
      </c>
      <c r="F291" s="15">
        <v>166.82</v>
      </c>
      <c r="G291" s="15">
        <v>0</v>
      </c>
      <c r="H291" s="15">
        <v>0</v>
      </c>
      <c r="I291" s="15">
        <v>0</v>
      </c>
      <c r="J291" s="20">
        <f>SUM(D291:I291)</f>
        <v>7691.15</v>
      </c>
      <c r="K291" s="8"/>
      <c r="L291" s="8"/>
    </row>
    <row r="292" spans="1:12" ht="15.75" thickBot="1">
      <c r="A292" s="8"/>
      <c r="B292" s="8"/>
      <c r="C292" s="8" t="s">
        <v>13</v>
      </c>
      <c r="D292" s="27"/>
      <c r="E292" s="27"/>
      <c r="F292" s="28"/>
      <c r="G292" s="28"/>
      <c r="H292" s="28"/>
      <c r="I292" s="28"/>
      <c r="J292" s="29"/>
      <c r="K292" s="8"/>
      <c r="L292" s="8"/>
    </row>
    <row r="293" spans="1:12">
      <c r="A293" s="8"/>
      <c r="B293" s="8"/>
      <c r="C293" s="8"/>
      <c r="D293" s="8"/>
      <c r="E293" s="8"/>
      <c r="F293" s="15"/>
      <c r="G293" s="15"/>
      <c r="H293" s="15"/>
      <c r="I293" s="15"/>
      <c r="J293" s="20"/>
      <c r="K293" s="8"/>
      <c r="L293" s="8"/>
    </row>
    <row r="294" spans="1:12" ht="15.75" thickBot="1">
      <c r="A294" s="8"/>
      <c r="B294" s="8"/>
      <c r="C294" s="8" t="s">
        <v>10</v>
      </c>
      <c r="D294" s="30">
        <f t="shared" ref="D294:I294" si="46">SUM(D291:D292)</f>
        <v>7284.13</v>
      </c>
      <c r="E294" s="30">
        <f t="shared" si="46"/>
        <v>240.2</v>
      </c>
      <c r="F294" s="30">
        <f t="shared" si="46"/>
        <v>166.82</v>
      </c>
      <c r="G294" s="30">
        <f t="shared" si="46"/>
        <v>0</v>
      </c>
      <c r="H294" s="30">
        <f t="shared" si="46"/>
        <v>0</v>
      </c>
      <c r="I294" s="30">
        <f t="shared" si="46"/>
        <v>0</v>
      </c>
      <c r="J294" s="31">
        <f>SUM(D294:I294)</f>
        <v>7691.15</v>
      </c>
      <c r="K294" s="8"/>
      <c r="L294" s="8"/>
    </row>
    <row r="295" spans="1:12" ht="15.75" thickTop="1">
      <c r="A295" s="8"/>
      <c r="B295" s="8"/>
      <c r="C295" s="8"/>
      <c r="D295" s="8"/>
      <c r="E295" s="8"/>
      <c r="F295" s="15"/>
      <c r="G295" s="15"/>
      <c r="H295" s="15"/>
      <c r="I295" s="15"/>
      <c r="J295" s="20"/>
      <c r="K295" s="8"/>
      <c r="L295" s="8"/>
    </row>
    <row r="296" spans="1:12">
      <c r="A296" s="8"/>
      <c r="B296" s="8"/>
      <c r="C296" s="8"/>
      <c r="D296" s="8"/>
      <c r="E296" s="8"/>
      <c r="F296" s="15"/>
      <c r="G296" s="15"/>
      <c r="H296" s="15"/>
      <c r="I296" s="15"/>
      <c r="J296" s="20"/>
      <c r="K296" s="8"/>
      <c r="L296" s="8"/>
    </row>
    <row r="297" spans="1:12">
      <c r="A297" s="8">
        <v>69</v>
      </c>
      <c r="B297" s="8" t="s">
        <v>64</v>
      </c>
      <c r="C297" s="8" t="s">
        <v>12</v>
      </c>
      <c r="D297" s="8">
        <v>9195.74</v>
      </c>
      <c r="E297" s="8">
        <v>307.01</v>
      </c>
      <c r="F297" s="15">
        <v>26.24</v>
      </c>
      <c r="G297" s="15">
        <v>29.33</v>
      </c>
      <c r="H297" s="15">
        <v>23.5</v>
      </c>
      <c r="I297" s="15">
        <v>0</v>
      </c>
      <c r="J297" s="20">
        <f>SUM(D297:I297)</f>
        <v>9581.82</v>
      </c>
      <c r="K297" s="8"/>
      <c r="L297" s="8"/>
    </row>
    <row r="298" spans="1:12" ht="15.75" thickBot="1">
      <c r="A298" s="8"/>
      <c r="B298" s="8"/>
      <c r="C298" s="8" t="s">
        <v>13</v>
      </c>
      <c r="D298" s="33">
        <v>0</v>
      </c>
      <c r="E298" s="33">
        <v>0</v>
      </c>
      <c r="F298" s="28">
        <v>0</v>
      </c>
      <c r="G298" s="28">
        <v>0</v>
      </c>
      <c r="H298" s="28">
        <v>0</v>
      </c>
      <c r="I298" s="28">
        <v>0</v>
      </c>
      <c r="J298" s="34">
        <v>0</v>
      </c>
      <c r="K298" s="8"/>
      <c r="L298" s="8"/>
    </row>
    <row r="299" spans="1:12">
      <c r="A299" s="8"/>
      <c r="B299" s="8"/>
      <c r="C299" s="8"/>
      <c r="D299" s="8"/>
      <c r="E299" s="8"/>
      <c r="F299" s="15"/>
      <c r="G299" s="15"/>
      <c r="H299" s="15"/>
      <c r="I299" s="15"/>
      <c r="J299" s="20"/>
      <c r="K299" s="8"/>
      <c r="L299" s="8"/>
    </row>
    <row r="300" spans="1:12" ht="15.75" thickBot="1">
      <c r="A300" s="8"/>
      <c r="B300" s="8"/>
      <c r="C300" s="8" t="s">
        <v>10</v>
      </c>
      <c r="D300" s="30">
        <f t="shared" ref="D300:I300" si="47">SUM(D297:D298)</f>
        <v>9195.74</v>
      </c>
      <c r="E300" s="30">
        <f t="shared" si="47"/>
        <v>307.01</v>
      </c>
      <c r="F300" s="30">
        <f t="shared" si="47"/>
        <v>26.24</v>
      </c>
      <c r="G300" s="30">
        <f t="shared" si="47"/>
        <v>29.33</v>
      </c>
      <c r="H300" s="30">
        <f t="shared" si="47"/>
        <v>23.5</v>
      </c>
      <c r="I300" s="30">
        <f t="shared" si="47"/>
        <v>0</v>
      </c>
      <c r="J300" s="31">
        <f>SUM(D300:I300)</f>
        <v>9581.82</v>
      </c>
      <c r="K300" s="8"/>
      <c r="L300" s="8"/>
    </row>
    <row r="301" spans="1:12" ht="15.75" thickTop="1">
      <c r="A301" s="8"/>
      <c r="B301" s="8"/>
      <c r="C301" s="8"/>
      <c r="D301" s="8"/>
      <c r="E301" s="8"/>
      <c r="F301" s="15"/>
      <c r="G301" s="15"/>
      <c r="H301" s="15"/>
      <c r="I301" s="15"/>
      <c r="J301" s="20"/>
      <c r="K301" s="8"/>
      <c r="L301" s="8"/>
    </row>
    <row r="302" spans="1:12">
      <c r="A302" s="8"/>
      <c r="B302" s="8"/>
      <c r="C302" s="8"/>
      <c r="D302" s="8"/>
      <c r="E302" s="8"/>
      <c r="F302" s="15"/>
      <c r="G302" s="15"/>
      <c r="H302" s="15"/>
      <c r="I302" s="15"/>
      <c r="J302" s="20"/>
      <c r="K302" s="8"/>
      <c r="L302" s="8"/>
    </row>
    <row r="303" spans="1:12">
      <c r="A303" s="8">
        <v>70</v>
      </c>
      <c r="B303" s="8" t="s">
        <v>65</v>
      </c>
      <c r="C303" s="8" t="s">
        <v>12</v>
      </c>
      <c r="D303" s="8">
        <v>7947.97</v>
      </c>
      <c r="E303" s="8">
        <v>302.99</v>
      </c>
      <c r="F303" s="15">
        <v>239.9</v>
      </c>
      <c r="G303" s="15">
        <v>207.94</v>
      </c>
      <c r="H303" s="15">
        <v>0</v>
      </c>
      <c r="I303" s="15">
        <v>0</v>
      </c>
      <c r="J303" s="20">
        <f>SUM(D303:I303)</f>
        <v>8698.8000000000011</v>
      </c>
      <c r="K303" s="8"/>
      <c r="L303" s="8"/>
    </row>
    <row r="304" spans="1:12" ht="15.75" thickBot="1">
      <c r="A304" s="8"/>
      <c r="B304" s="8"/>
      <c r="C304" s="8" t="s">
        <v>78</v>
      </c>
      <c r="D304" s="33">
        <v>0</v>
      </c>
      <c r="E304" s="33">
        <v>0</v>
      </c>
      <c r="F304" s="28">
        <v>0</v>
      </c>
      <c r="G304" s="28">
        <v>0</v>
      </c>
      <c r="H304" s="28">
        <v>0</v>
      </c>
      <c r="I304" s="28">
        <v>0</v>
      </c>
      <c r="J304" s="29">
        <f>SUM(D304:I304)</f>
        <v>0</v>
      </c>
      <c r="K304" s="8"/>
      <c r="L304" s="8"/>
    </row>
    <row r="305" spans="1:12">
      <c r="A305" s="8"/>
      <c r="B305" s="8"/>
      <c r="C305" s="8"/>
      <c r="D305" s="8"/>
      <c r="E305" s="8"/>
      <c r="F305" s="15"/>
      <c r="G305" s="15"/>
      <c r="H305" s="15"/>
      <c r="I305" s="15"/>
      <c r="J305" s="20"/>
      <c r="K305" s="8"/>
      <c r="L305" s="8"/>
    </row>
    <row r="306" spans="1:12" ht="15.75" thickBot="1">
      <c r="A306" s="8"/>
      <c r="B306" s="8"/>
      <c r="C306" s="8" t="s">
        <v>10</v>
      </c>
      <c r="D306" s="30">
        <f t="shared" ref="D306:I306" si="48">SUM(D303:D305)</f>
        <v>7947.97</v>
      </c>
      <c r="E306" s="30">
        <f t="shared" si="48"/>
        <v>302.99</v>
      </c>
      <c r="F306" s="30">
        <f t="shared" si="48"/>
        <v>239.9</v>
      </c>
      <c r="G306" s="30">
        <f t="shared" si="48"/>
        <v>207.94</v>
      </c>
      <c r="H306" s="30">
        <f t="shared" si="48"/>
        <v>0</v>
      </c>
      <c r="I306" s="30">
        <f t="shared" si="48"/>
        <v>0</v>
      </c>
      <c r="J306" s="31">
        <f>SUM(D306:I306)</f>
        <v>8698.8000000000011</v>
      </c>
      <c r="K306" s="8"/>
      <c r="L306" s="8"/>
    </row>
    <row r="307" spans="1:12" ht="15.75" thickTop="1">
      <c r="A307" s="8"/>
      <c r="B307" s="8"/>
      <c r="C307" s="8"/>
      <c r="D307" s="8"/>
      <c r="E307" s="8"/>
      <c r="F307" s="15"/>
      <c r="G307" s="15"/>
      <c r="H307" s="15"/>
      <c r="I307" s="15"/>
      <c r="J307" s="20"/>
      <c r="K307" s="8"/>
      <c r="L307" s="8"/>
    </row>
    <row r="308" spans="1:12">
      <c r="A308" s="8"/>
      <c r="B308" s="8"/>
      <c r="C308" s="8" t="s">
        <v>66</v>
      </c>
      <c r="D308" s="15">
        <f t="shared" ref="D308:I308" si="49">SUM(D9:D306)/2</f>
        <v>560022.26</v>
      </c>
      <c r="E308" s="15">
        <f t="shared" si="49"/>
        <v>16768.599999999995</v>
      </c>
      <c r="F308" s="15">
        <f t="shared" si="49"/>
        <v>7354.1399999999994</v>
      </c>
      <c r="G308" s="15">
        <f t="shared" si="49"/>
        <v>3402.5899999999997</v>
      </c>
      <c r="H308" s="15">
        <f t="shared" si="49"/>
        <v>1337.4399999999998</v>
      </c>
      <c r="I308" s="15">
        <f t="shared" si="49"/>
        <v>76.539999999999978</v>
      </c>
      <c r="J308" s="20">
        <f>SUM(D308:I308)</f>
        <v>588961.56999999995</v>
      </c>
      <c r="K308" s="8"/>
      <c r="L308" s="8"/>
    </row>
    <row r="309" spans="1:12">
      <c r="A309" s="8"/>
      <c r="B309" s="8"/>
      <c r="C309" s="8"/>
      <c r="D309" s="8"/>
      <c r="E309" s="8"/>
      <c r="F309" s="15"/>
      <c r="G309" s="8"/>
      <c r="H309" s="8"/>
      <c r="I309" s="8"/>
      <c r="J309" s="20"/>
      <c r="K309" s="8"/>
      <c r="L309" s="8"/>
    </row>
    <row r="310" spans="1:12">
      <c r="A310" s="8"/>
      <c r="B310" s="8"/>
      <c r="C310" s="8"/>
      <c r="D310" s="8"/>
      <c r="E310" s="8"/>
      <c r="F310" s="8"/>
      <c r="G310" s="8"/>
      <c r="H310" s="8"/>
      <c r="I310" s="8"/>
      <c r="J310" s="20"/>
      <c r="K310" s="8"/>
      <c r="L310" s="8"/>
    </row>
  </sheetData>
  <phoneticPr fontId="0" type="noConversion"/>
  <pageMargins left="0.25" right="0.25" top="0.25" bottom="0.25" header="0.5" footer="0.5"/>
  <pageSetup scale="70" fitToHeight="50" orientation="landscape" r:id="rId1"/>
  <headerFooter alignWithMargins="0"/>
  <rowBreaks count="51" manualBreakCount="51">
    <brk id="7" max="65535" man="1"/>
    <brk id="13" max="9" man="1"/>
    <brk id="18" max="65535" man="1"/>
    <brk id="24" max="65535" man="1"/>
    <brk id="30" max="65535" man="1"/>
    <brk id="36" max="65535" man="1"/>
    <brk id="43" max="65535" man="1"/>
    <brk id="49" max="65535" man="1"/>
    <brk id="56" max="65535" man="1"/>
    <brk id="62" max="65535" man="1"/>
    <brk id="68" max="65535" man="1"/>
    <brk id="75" max="65535" man="1"/>
    <brk id="82" max="65535" man="1"/>
    <brk id="89" max="65535" man="1"/>
    <brk id="94" max="65535" man="1"/>
    <brk id="100" max="65535" man="1"/>
    <brk id="105" max="65535" man="1"/>
    <brk id="111" max="65535" man="1"/>
    <brk id="118" max="65535" man="1"/>
    <brk id="123" max="9" man="1"/>
    <brk id="128" max="65535" man="1"/>
    <brk id="134" max="65535" man="1"/>
    <brk id="141" max="65535" man="1"/>
    <brk id="148" max="9" man="1"/>
    <brk id="154" max="9" man="1"/>
    <brk id="158" max="9" man="1"/>
    <brk id="163" max="65535" man="1"/>
    <brk id="168" max="65535" man="1"/>
    <brk id="173" max="65535" man="1"/>
    <brk id="179" max="65535" man="1"/>
    <brk id="186" max="65535" man="1"/>
    <brk id="192" max="65535" man="1"/>
    <brk id="198" max="65535" man="1"/>
    <brk id="206" max="16383" man="1"/>
    <brk id="211" max="16383" man="1"/>
    <brk id="217" max="16383" man="1"/>
    <brk id="223" max="16383" man="1"/>
    <brk id="229" max="16383" man="1"/>
    <brk id="235" max="16383" man="1"/>
    <brk id="241" max="16383" man="1"/>
    <brk id="246" max="16383" man="1"/>
    <brk id="253" max="16383" man="1"/>
    <brk id="259" max="16383" man="1"/>
    <brk id="265" max="16383" man="1"/>
    <brk id="270" max="16383" man="1"/>
    <brk id="276" max="16383" man="1"/>
    <brk id="283" max="16383" man="1"/>
    <brk id="289" max="16383" man="1"/>
    <brk id="295" max="16383" man="1"/>
    <brk id="300" max="16383" man="1"/>
    <brk id="30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A1:L310"/>
  <sheetViews>
    <sheetView showOutlineSymbols="0" defaultGridColor="0" view="pageBreakPreview" topLeftCell="B283" colorId="23" zoomScale="60" zoomScaleNormal="75" workbookViewId="0">
      <selection activeCell="G285" sqref="G285"/>
    </sheetView>
  </sheetViews>
  <sheetFormatPr defaultColWidth="9.6640625" defaultRowHeight="15"/>
  <cols>
    <col min="1" max="1" width="9.6640625" style="10" customWidth="1"/>
    <col min="2" max="2" width="27.44140625" style="10" bestFit="1" customWidth="1"/>
    <col min="3" max="3" width="24.44140625" style="10" bestFit="1" customWidth="1"/>
    <col min="4" max="5" width="12.77734375" style="10" customWidth="1"/>
    <col min="6" max="6" width="12.6640625" style="10" customWidth="1"/>
    <col min="7" max="8" width="11.6640625" style="10" customWidth="1"/>
    <col min="9" max="9" width="9.6640625" style="10" customWidth="1"/>
    <col min="10" max="10" width="14.44140625" style="23" customWidth="1"/>
    <col min="11" max="16384" width="9.6640625" style="10"/>
  </cols>
  <sheetData>
    <row r="1" spans="1:12">
      <c r="A1" s="8"/>
      <c r="B1" s="8"/>
      <c r="C1" s="8"/>
      <c r="D1" s="8"/>
      <c r="E1" s="8"/>
      <c r="F1" s="8"/>
      <c r="G1" s="8"/>
      <c r="H1" s="8"/>
      <c r="I1" s="9"/>
      <c r="J1" s="20"/>
      <c r="K1" s="8"/>
      <c r="L1" s="8"/>
    </row>
    <row r="2" spans="1:12">
      <c r="A2" s="8"/>
      <c r="B2" s="8"/>
      <c r="C2" s="8"/>
      <c r="D2" s="8"/>
      <c r="E2" s="8"/>
      <c r="F2" s="8"/>
      <c r="G2" s="8"/>
      <c r="H2" s="8"/>
      <c r="I2" s="8"/>
      <c r="J2" s="20"/>
      <c r="K2" s="8"/>
      <c r="L2" s="8"/>
    </row>
    <row r="3" spans="1:12">
      <c r="A3" s="8"/>
      <c r="B3" s="8" t="s">
        <v>96</v>
      </c>
      <c r="C3" s="8"/>
      <c r="D3" s="8"/>
      <c r="E3" s="8"/>
      <c r="F3" s="8"/>
      <c r="G3" s="8"/>
      <c r="H3" s="8"/>
      <c r="I3" s="8"/>
      <c r="J3" s="20"/>
      <c r="K3" s="8"/>
      <c r="L3" s="8"/>
    </row>
    <row r="4" spans="1:12" ht="15.75">
      <c r="A4" s="8"/>
      <c r="B4" s="11" t="s">
        <v>1</v>
      </c>
      <c r="C4" s="9"/>
      <c r="D4" s="9"/>
      <c r="E4" s="9"/>
      <c r="F4" s="9"/>
      <c r="G4" s="9"/>
      <c r="H4" s="9"/>
      <c r="I4" s="9"/>
      <c r="J4" s="21"/>
      <c r="K4" s="8"/>
      <c r="L4" s="8"/>
    </row>
    <row r="5" spans="1:12" ht="15.75">
      <c r="A5" s="8"/>
      <c r="B5" s="11" t="s">
        <v>100</v>
      </c>
      <c r="C5" s="9"/>
      <c r="D5" s="9"/>
      <c r="E5" s="9"/>
      <c r="F5" s="9"/>
      <c r="G5" s="9"/>
      <c r="H5" s="9"/>
      <c r="I5" s="9"/>
      <c r="J5" s="21"/>
      <c r="K5" s="8"/>
      <c r="L5" s="8"/>
    </row>
    <row r="6" spans="1:12">
      <c r="A6" s="8"/>
      <c r="B6" s="8"/>
      <c r="C6" s="8"/>
      <c r="D6" s="8"/>
      <c r="E6" s="8"/>
      <c r="F6" s="8"/>
      <c r="G6" s="8"/>
      <c r="H6" s="8"/>
      <c r="I6" s="8"/>
      <c r="J6" s="20"/>
      <c r="K6" s="8"/>
      <c r="L6" s="8"/>
    </row>
    <row r="7" spans="1:12">
      <c r="A7" s="8"/>
      <c r="B7" s="12" t="s">
        <v>3</v>
      </c>
      <c r="C7" s="12" t="s">
        <v>4</v>
      </c>
      <c r="D7" s="14">
        <v>2003</v>
      </c>
      <c r="E7" s="14">
        <v>2002</v>
      </c>
      <c r="F7" s="13">
        <v>2001</v>
      </c>
      <c r="G7" s="13">
        <v>2000</v>
      </c>
      <c r="H7" s="13">
        <v>1999</v>
      </c>
      <c r="I7" s="14">
        <v>1998</v>
      </c>
      <c r="J7" s="22" t="s">
        <v>10</v>
      </c>
      <c r="K7" s="8"/>
      <c r="L7" s="8"/>
    </row>
    <row r="8" spans="1:12">
      <c r="A8" s="8"/>
      <c r="B8" s="8"/>
      <c r="C8" s="8"/>
      <c r="D8" s="8"/>
      <c r="E8" s="8"/>
      <c r="F8" s="8"/>
      <c r="G8" s="8"/>
      <c r="H8" s="8"/>
      <c r="I8" s="8"/>
      <c r="J8" s="20"/>
      <c r="K8" s="8"/>
      <c r="L8" s="8"/>
    </row>
    <row r="9" spans="1:12">
      <c r="A9" s="8">
        <v>21</v>
      </c>
      <c r="B9" s="8" t="s">
        <v>11</v>
      </c>
      <c r="C9" s="8" t="s">
        <v>12</v>
      </c>
      <c r="D9" s="8">
        <v>7412.84</v>
      </c>
      <c r="E9" s="8">
        <v>3.4</v>
      </c>
      <c r="F9" s="15"/>
      <c r="G9" s="15"/>
      <c r="H9" s="15"/>
      <c r="I9" s="15"/>
      <c r="J9" s="20">
        <f>SUM(D9:I9)</f>
        <v>7416.24</v>
      </c>
      <c r="K9" s="8"/>
      <c r="L9" s="8"/>
    </row>
    <row r="10" spans="1:12" ht="15.75" thickBot="1">
      <c r="A10" s="8"/>
      <c r="B10" s="8"/>
      <c r="C10" s="8" t="s">
        <v>13</v>
      </c>
      <c r="D10" s="27">
        <v>212.2</v>
      </c>
      <c r="E10" s="27">
        <v>0.08</v>
      </c>
      <c r="F10" s="28"/>
      <c r="G10" s="28"/>
      <c r="H10" s="28"/>
      <c r="I10" s="28"/>
      <c r="J10" s="29">
        <f>SUM(D10:I10)</f>
        <v>212.28</v>
      </c>
      <c r="K10" s="8"/>
      <c r="L10" s="8"/>
    </row>
    <row r="11" spans="1:12">
      <c r="A11" s="8"/>
      <c r="B11" s="8"/>
      <c r="C11" s="8"/>
      <c r="D11" s="8"/>
      <c r="E11" s="8"/>
      <c r="F11" s="15"/>
      <c r="G11" s="15"/>
      <c r="H11" s="15"/>
      <c r="I11" s="15"/>
      <c r="J11" s="20"/>
      <c r="K11" s="8"/>
      <c r="L11" s="8"/>
    </row>
    <row r="12" spans="1:12" ht="15.75" thickBot="1">
      <c r="A12" s="8"/>
      <c r="B12" s="8"/>
      <c r="C12" s="8" t="s">
        <v>10</v>
      </c>
      <c r="D12" s="30">
        <f t="shared" ref="D12:I12" si="0">SUM(D9:D10)</f>
        <v>7625.04</v>
      </c>
      <c r="E12" s="30">
        <f t="shared" si="0"/>
        <v>3.48</v>
      </c>
      <c r="F12" s="30">
        <f t="shared" si="0"/>
        <v>0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>SUM(D12:I12)</f>
        <v>7628.5199999999995</v>
      </c>
      <c r="K12" s="8"/>
      <c r="L12" s="8"/>
    </row>
    <row r="13" spans="1:12" ht="15.75" thickTop="1">
      <c r="A13" s="8"/>
      <c r="B13" s="8"/>
      <c r="C13" s="8"/>
      <c r="D13" s="8"/>
      <c r="E13" s="8"/>
      <c r="F13" s="15"/>
      <c r="G13" s="8"/>
      <c r="H13" s="8"/>
      <c r="I13" s="8"/>
      <c r="J13" s="20"/>
      <c r="K13" s="8"/>
      <c r="L13" s="8"/>
    </row>
    <row r="14" spans="1:12">
      <c r="A14" s="8">
        <v>22</v>
      </c>
      <c r="B14" s="8" t="s">
        <v>15</v>
      </c>
      <c r="C14" s="8" t="s">
        <v>12</v>
      </c>
      <c r="D14" s="8">
        <v>10730.59</v>
      </c>
      <c r="E14" s="8">
        <v>299.89999999999998</v>
      </c>
      <c r="F14" s="15">
        <v>26.46</v>
      </c>
      <c r="G14" s="15">
        <v>23.29</v>
      </c>
      <c r="H14" s="15">
        <v>18.809999999999999</v>
      </c>
      <c r="I14" s="15"/>
      <c r="J14" s="20">
        <f>SUM(D14:I14)</f>
        <v>11099.05</v>
      </c>
      <c r="K14" s="8"/>
      <c r="L14" s="8"/>
    </row>
    <row r="15" spans="1:12" ht="15.75" thickBot="1">
      <c r="A15" s="8"/>
      <c r="B15" s="8"/>
      <c r="C15" s="8" t="s">
        <v>13</v>
      </c>
      <c r="D15" s="27">
        <v>616.09</v>
      </c>
      <c r="E15" s="27">
        <v>26.15</v>
      </c>
      <c r="F15" s="28">
        <v>1.73</v>
      </c>
      <c r="G15" s="28">
        <v>1.57</v>
      </c>
      <c r="H15" s="28">
        <v>1.55</v>
      </c>
      <c r="I15" s="28"/>
      <c r="J15" s="29">
        <f>SUM(D15:I15)</f>
        <v>647.09</v>
      </c>
      <c r="K15" s="8"/>
      <c r="L15" s="8"/>
    </row>
    <row r="16" spans="1:12">
      <c r="A16" s="8"/>
      <c r="B16" s="8"/>
      <c r="C16" s="8"/>
      <c r="D16" s="8"/>
      <c r="E16" s="8"/>
      <c r="F16" s="15"/>
      <c r="G16" s="15"/>
      <c r="H16" s="15"/>
      <c r="I16" s="15"/>
      <c r="J16" s="20"/>
      <c r="K16" s="8"/>
      <c r="L16" s="8"/>
    </row>
    <row r="17" spans="1:12" ht="15.75" thickBot="1">
      <c r="A17" s="8"/>
      <c r="B17" s="8"/>
      <c r="C17" s="8" t="s">
        <v>10</v>
      </c>
      <c r="D17" s="30">
        <f t="shared" ref="D17:I17" si="1">SUM(D14:D15)</f>
        <v>11346.68</v>
      </c>
      <c r="E17" s="30">
        <f t="shared" si="1"/>
        <v>326.04999999999995</v>
      </c>
      <c r="F17" s="30">
        <f t="shared" si="1"/>
        <v>28.19</v>
      </c>
      <c r="G17" s="30">
        <f t="shared" si="1"/>
        <v>24.86</v>
      </c>
      <c r="H17" s="30">
        <f t="shared" si="1"/>
        <v>20.36</v>
      </c>
      <c r="I17" s="30">
        <f t="shared" si="1"/>
        <v>0</v>
      </c>
      <c r="J17" s="31">
        <f>SUM(D17:I17)</f>
        <v>11746.140000000001</v>
      </c>
      <c r="K17" s="8"/>
      <c r="L17" s="8"/>
    </row>
    <row r="18" spans="1:12" ht="15.75" thickTop="1">
      <c r="A18" s="8"/>
      <c r="B18" s="8"/>
      <c r="C18" s="8"/>
      <c r="D18" s="8"/>
      <c r="E18" s="8"/>
      <c r="F18" s="15"/>
      <c r="G18" s="15"/>
      <c r="H18" s="15"/>
      <c r="I18" s="15"/>
      <c r="J18" s="20"/>
      <c r="K18" s="8"/>
      <c r="L18" s="8"/>
    </row>
    <row r="19" spans="1:12">
      <c r="A19" s="8">
        <v>23</v>
      </c>
      <c r="B19" s="8" t="s">
        <v>16</v>
      </c>
      <c r="C19" s="8" t="s">
        <v>12</v>
      </c>
      <c r="D19" s="8">
        <v>6928.21</v>
      </c>
      <c r="E19" s="8">
        <v>747.03</v>
      </c>
      <c r="F19" s="15">
        <v>582.15</v>
      </c>
      <c r="G19" s="15">
        <v>372.06</v>
      </c>
      <c r="H19" s="15">
        <v>320.57</v>
      </c>
      <c r="I19" s="15"/>
      <c r="J19" s="20">
        <f>SUM(D19:I19)</f>
        <v>8950.0199999999986</v>
      </c>
      <c r="K19" s="8"/>
      <c r="L19" s="8"/>
    </row>
    <row r="20" spans="1:12" ht="15.75" thickBot="1">
      <c r="A20" s="8"/>
      <c r="B20" s="8"/>
      <c r="C20" s="8" t="s">
        <v>13</v>
      </c>
      <c r="D20" s="33"/>
      <c r="E20" s="33"/>
      <c r="F20" s="28"/>
      <c r="G20" s="28"/>
      <c r="H20" s="28"/>
      <c r="I20" s="28"/>
      <c r="J20" s="29">
        <f>SUM(D20:I20)</f>
        <v>0</v>
      </c>
      <c r="K20" s="8"/>
      <c r="L20" s="8"/>
    </row>
    <row r="21" spans="1:12">
      <c r="A21" s="8"/>
      <c r="B21" s="8"/>
      <c r="C21" s="8"/>
      <c r="D21" s="8"/>
      <c r="E21" s="8"/>
      <c r="F21" s="15"/>
      <c r="G21" s="15"/>
      <c r="H21" s="15"/>
      <c r="I21" s="15"/>
      <c r="J21" s="20"/>
      <c r="K21" s="8"/>
      <c r="L21" s="8"/>
    </row>
    <row r="22" spans="1:12" ht="15.75" thickBot="1">
      <c r="A22" s="8"/>
      <c r="B22" s="8"/>
      <c r="C22" s="8" t="s">
        <v>10</v>
      </c>
      <c r="D22" s="30">
        <f t="shared" ref="D22:I22" si="2">SUM(D19:D20)</f>
        <v>6928.21</v>
      </c>
      <c r="E22" s="30">
        <f t="shared" si="2"/>
        <v>747.03</v>
      </c>
      <c r="F22" s="30">
        <f t="shared" si="2"/>
        <v>582.15</v>
      </c>
      <c r="G22" s="30">
        <f t="shared" si="2"/>
        <v>372.06</v>
      </c>
      <c r="H22" s="30">
        <f t="shared" si="2"/>
        <v>320.57</v>
      </c>
      <c r="I22" s="30">
        <f t="shared" si="2"/>
        <v>0</v>
      </c>
      <c r="J22" s="31">
        <f>SUM(D22:I22)</f>
        <v>8950.0199999999986</v>
      </c>
      <c r="K22" s="8"/>
      <c r="L22" s="8"/>
    </row>
    <row r="23" spans="1:12" ht="15.75" thickTop="1">
      <c r="A23" s="8"/>
      <c r="B23" s="8"/>
      <c r="C23" s="8"/>
      <c r="D23" s="8"/>
      <c r="E23" s="8"/>
      <c r="F23" s="15"/>
      <c r="G23" s="15"/>
      <c r="H23" s="15"/>
      <c r="I23" s="15"/>
      <c r="J23" s="20"/>
      <c r="K23" s="8"/>
      <c r="L23" s="8"/>
    </row>
    <row r="24" spans="1:12">
      <c r="A24" s="8"/>
      <c r="B24" s="8"/>
      <c r="C24" s="8"/>
      <c r="D24" s="8"/>
      <c r="E24" s="8"/>
      <c r="F24" s="15"/>
      <c r="G24" s="8"/>
      <c r="H24" s="8"/>
      <c r="I24" s="8"/>
      <c r="J24" s="20"/>
      <c r="K24" s="8"/>
      <c r="L24" s="8"/>
    </row>
    <row r="25" spans="1:12">
      <c r="A25" s="8"/>
      <c r="B25" s="8"/>
      <c r="C25" s="8"/>
      <c r="D25" s="8"/>
      <c r="E25" s="8"/>
      <c r="F25" s="15"/>
      <c r="G25" s="15"/>
      <c r="H25" s="15"/>
      <c r="I25" s="15"/>
      <c r="J25" s="20"/>
      <c r="K25" s="8"/>
      <c r="L25" s="8"/>
    </row>
    <row r="26" spans="1:12" ht="15.75" thickBot="1">
      <c r="A26" s="8">
        <v>24</v>
      </c>
      <c r="B26" s="8" t="s">
        <v>17</v>
      </c>
      <c r="C26" s="8" t="s">
        <v>12</v>
      </c>
      <c r="D26" s="27">
        <v>5013.57</v>
      </c>
      <c r="E26" s="27"/>
      <c r="F26" s="28"/>
      <c r="G26" s="28"/>
      <c r="H26" s="28"/>
      <c r="I26" s="28"/>
      <c r="J26" s="29">
        <f>SUM(D26:I26)</f>
        <v>5013.57</v>
      </c>
      <c r="K26" s="8"/>
      <c r="L26" s="8"/>
    </row>
    <row r="27" spans="1:12">
      <c r="A27" s="8"/>
      <c r="B27" s="8"/>
      <c r="C27" s="8"/>
      <c r="D27" s="8"/>
      <c r="E27" s="8"/>
      <c r="F27" s="24"/>
      <c r="G27" s="24"/>
      <c r="H27" s="24"/>
      <c r="I27" s="24"/>
      <c r="J27" s="25"/>
      <c r="K27" s="8"/>
      <c r="L27" s="8"/>
    </row>
    <row r="28" spans="1:12" ht="15.75" thickBot="1">
      <c r="A28" s="8"/>
      <c r="B28" s="8"/>
      <c r="C28" s="8" t="s">
        <v>10</v>
      </c>
      <c r="D28" s="30">
        <f t="shared" ref="D28:I28" si="3">SUM(D26:D27)</f>
        <v>5013.57</v>
      </c>
      <c r="E28" s="30">
        <f t="shared" si="3"/>
        <v>0</v>
      </c>
      <c r="F28" s="30">
        <f t="shared" si="3"/>
        <v>0</v>
      </c>
      <c r="G28" s="30">
        <f t="shared" si="3"/>
        <v>0</v>
      </c>
      <c r="H28" s="30">
        <f t="shared" si="3"/>
        <v>0</v>
      </c>
      <c r="I28" s="30">
        <f t="shared" si="3"/>
        <v>0</v>
      </c>
      <c r="J28" s="31">
        <f>SUM(D28:I28)</f>
        <v>5013.57</v>
      </c>
      <c r="K28" s="8"/>
      <c r="L28" s="8"/>
    </row>
    <row r="29" spans="1:12" ht="15.75" thickTop="1">
      <c r="A29" s="8"/>
      <c r="B29" s="8"/>
      <c r="C29" s="8"/>
      <c r="D29" s="8"/>
      <c r="E29" s="8"/>
      <c r="F29" s="15"/>
      <c r="G29" s="15"/>
      <c r="H29" s="15"/>
      <c r="I29" s="15"/>
      <c r="J29" s="20"/>
      <c r="K29" s="8"/>
      <c r="L29" s="8"/>
    </row>
    <row r="30" spans="1:12">
      <c r="A30" s="8"/>
      <c r="B30" s="8"/>
      <c r="C30" s="8"/>
      <c r="D30" s="8"/>
      <c r="E30" s="8"/>
      <c r="F30" s="15"/>
      <c r="G30" s="8"/>
      <c r="H30" s="8"/>
      <c r="I30" s="8"/>
      <c r="J30" s="20"/>
      <c r="K30" s="8"/>
      <c r="L30" s="8"/>
    </row>
    <row r="31" spans="1:12">
      <c r="A31" s="8"/>
      <c r="B31" s="8"/>
      <c r="C31" s="8"/>
      <c r="D31" s="8"/>
      <c r="E31" s="8"/>
      <c r="F31" s="15"/>
      <c r="G31" s="15"/>
      <c r="H31" s="15"/>
      <c r="I31" s="15"/>
      <c r="J31" s="20"/>
      <c r="K31" s="8"/>
      <c r="L31" s="8"/>
    </row>
    <row r="32" spans="1:12" ht="15.75" thickBot="1">
      <c r="A32" s="8">
        <v>25</v>
      </c>
      <c r="B32" s="8" t="s">
        <v>18</v>
      </c>
      <c r="C32" s="8" t="s">
        <v>12</v>
      </c>
      <c r="D32" s="27">
        <v>21440.82</v>
      </c>
      <c r="E32" s="27">
        <v>179.13</v>
      </c>
      <c r="F32" s="28"/>
      <c r="G32" s="28">
        <v>77.239999999999995</v>
      </c>
      <c r="H32" s="28"/>
      <c r="I32" s="28"/>
      <c r="J32" s="29">
        <f>SUM(D32:I32)</f>
        <v>21697.190000000002</v>
      </c>
      <c r="K32" s="8"/>
      <c r="L32" s="8"/>
    </row>
    <row r="33" spans="1:12">
      <c r="A33" s="8"/>
      <c r="B33" s="8"/>
      <c r="C33" s="8"/>
      <c r="D33" s="8"/>
      <c r="E33" s="8"/>
      <c r="F33" s="24"/>
      <c r="G33" s="24"/>
      <c r="H33" s="24"/>
      <c r="I33" s="24"/>
      <c r="J33" s="25"/>
      <c r="K33" s="8"/>
      <c r="L33" s="8"/>
    </row>
    <row r="34" spans="1:12" ht="15.75" thickBot="1">
      <c r="A34" s="8"/>
      <c r="B34" s="8"/>
      <c r="C34" s="8" t="s">
        <v>10</v>
      </c>
      <c r="D34" s="30">
        <f t="shared" ref="D34:I34" si="4">SUM(D32:D33)</f>
        <v>21440.82</v>
      </c>
      <c r="E34" s="30">
        <f t="shared" si="4"/>
        <v>179.13</v>
      </c>
      <c r="F34" s="30">
        <f t="shared" si="4"/>
        <v>0</v>
      </c>
      <c r="G34" s="30">
        <f t="shared" si="4"/>
        <v>77.239999999999995</v>
      </c>
      <c r="H34" s="30">
        <f t="shared" si="4"/>
        <v>0</v>
      </c>
      <c r="I34" s="30">
        <f t="shared" si="4"/>
        <v>0</v>
      </c>
      <c r="J34" s="31">
        <f>SUM(D34:I34)</f>
        <v>21697.190000000002</v>
      </c>
      <c r="K34" s="8"/>
      <c r="L34" s="8"/>
    </row>
    <row r="35" spans="1:12" ht="15.75" thickTop="1">
      <c r="A35" s="8"/>
      <c r="B35" s="8"/>
      <c r="C35" s="8"/>
      <c r="D35" s="8"/>
      <c r="E35" s="8"/>
      <c r="F35" s="15"/>
      <c r="G35" s="8"/>
      <c r="H35" s="8"/>
      <c r="I35" s="8"/>
      <c r="J35" s="20"/>
      <c r="K35" s="8"/>
      <c r="L35" s="8"/>
    </row>
    <row r="36" spans="1:12">
      <c r="A36" s="8"/>
      <c r="B36" s="8"/>
      <c r="C36" s="8"/>
      <c r="D36" s="8"/>
      <c r="E36" s="8"/>
      <c r="F36" s="15"/>
      <c r="G36" s="15"/>
      <c r="H36" s="15"/>
      <c r="I36" s="15"/>
      <c r="J36" s="20"/>
      <c r="K36" s="8"/>
      <c r="L36" s="8"/>
    </row>
    <row r="37" spans="1:12">
      <c r="A37" s="8"/>
      <c r="B37" s="8"/>
      <c r="C37" s="8"/>
      <c r="D37" s="8"/>
      <c r="E37" s="8"/>
      <c r="F37" s="15"/>
      <c r="G37" s="15"/>
      <c r="H37" s="15"/>
      <c r="I37" s="15"/>
      <c r="J37" s="20"/>
      <c r="K37" s="8"/>
      <c r="L37" s="8"/>
    </row>
    <row r="38" spans="1:12">
      <c r="A38" s="8">
        <v>26</v>
      </c>
      <c r="B38" s="8" t="s">
        <v>19</v>
      </c>
      <c r="C38" s="8" t="s">
        <v>12</v>
      </c>
      <c r="D38" s="8">
        <v>7486.8</v>
      </c>
      <c r="E38" s="8">
        <v>264.70999999999998</v>
      </c>
      <c r="F38" s="15">
        <v>108.68</v>
      </c>
      <c r="G38" s="15">
        <v>18.04</v>
      </c>
      <c r="H38" s="15">
        <v>18.239999999999998</v>
      </c>
      <c r="I38" s="15"/>
      <c r="J38" s="20">
        <f>SUM(D38:I38)</f>
        <v>7896.47</v>
      </c>
      <c r="K38" s="8"/>
      <c r="L38" s="8"/>
    </row>
    <row r="39" spans="1:12" ht="15.75" thickBot="1">
      <c r="A39" s="8"/>
      <c r="B39" s="8"/>
      <c r="C39" s="8" t="s">
        <v>13</v>
      </c>
      <c r="D39" s="27">
        <v>128.46</v>
      </c>
      <c r="E39" s="27">
        <v>4.59</v>
      </c>
      <c r="F39" s="28">
        <v>2.48</v>
      </c>
      <c r="G39" s="28">
        <v>0.48</v>
      </c>
      <c r="H39" s="28">
        <v>0.38</v>
      </c>
      <c r="I39" s="28"/>
      <c r="J39" s="29">
        <f>SUM(D39:I39)</f>
        <v>136.38999999999999</v>
      </c>
      <c r="K39" s="8"/>
      <c r="L39" s="8"/>
    </row>
    <row r="40" spans="1:12">
      <c r="A40" s="8"/>
      <c r="B40" s="8"/>
      <c r="C40" s="8"/>
      <c r="D40" s="8"/>
      <c r="E40" s="8"/>
      <c r="F40" s="15"/>
      <c r="G40" s="15"/>
      <c r="H40" s="15"/>
      <c r="I40" s="15"/>
      <c r="J40" s="20"/>
      <c r="K40" s="8"/>
      <c r="L40" s="8"/>
    </row>
    <row r="41" spans="1:12" ht="15.75" thickBot="1">
      <c r="A41" s="8"/>
      <c r="B41" s="8"/>
      <c r="C41" s="8" t="s">
        <v>10</v>
      </c>
      <c r="D41" s="30">
        <f t="shared" ref="D41:I41" si="5">SUM(D38:D39)</f>
        <v>7615.26</v>
      </c>
      <c r="E41" s="30">
        <f t="shared" si="5"/>
        <v>269.29999999999995</v>
      </c>
      <c r="F41" s="30">
        <f t="shared" si="5"/>
        <v>111.16000000000001</v>
      </c>
      <c r="G41" s="30">
        <f t="shared" si="5"/>
        <v>18.52</v>
      </c>
      <c r="H41" s="30">
        <f t="shared" si="5"/>
        <v>18.619999999999997</v>
      </c>
      <c r="I41" s="30">
        <f t="shared" si="5"/>
        <v>0</v>
      </c>
      <c r="J41" s="31">
        <f>SUM(D41:I41)</f>
        <v>8032.8600000000006</v>
      </c>
      <c r="K41" s="8"/>
      <c r="L41" s="8"/>
    </row>
    <row r="42" spans="1:12" ht="15.75" thickTop="1">
      <c r="A42" s="8"/>
      <c r="B42" s="8"/>
      <c r="C42" s="8"/>
      <c r="D42" s="8"/>
      <c r="E42" s="8"/>
      <c r="F42" s="15"/>
      <c r="G42" s="15"/>
      <c r="H42" s="15"/>
      <c r="I42" s="15"/>
      <c r="J42" s="20"/>
      <c r="K42" s="8"/>
      <c r="L42" s="8"/>
    </row>
    <row r="43" spans="1:12">
      <c r="A43" s="8"/>
      <c r="B43" s="8"/>
      <c r="C43" s="8"/>
      <c r="D43" s="8"/>
      <c r="E43" s="8"/>
      <c r="F43" s="15"/>
      <c r="G43" s="15"/>
      <c r="H43" s="15"/>
      <c r="I43" s="15"/>
      <c r="J43" s="20"/>
      <c r="K43" s="8"/>
      <c r="L43" s="8"/>
    </row>
    <row r="44" spans="1:12" ht="15.75" thickBot="1">
      <c r="A44" s="8">
        <v>27</v>
      </c>
      <c r="B44" s="8" t="s">
        <v>20</v>
      </c>
      <c r="C44" s="8" t="s">
        <v>12</v>
      </c>
      <c r="D44" s="27">
        <v>6855.96</v>
      </c>
      <c r="E44" s="27"/>
      <c r="F44" s="28"/>
      <c r="G44" s="28"/>
      <c r="H44" s="28"/>
      <c r="I44" s="28"/>
      <c r="J44" s="29">
        <f>SUM(D44:I44)</f>
        <v>6855.96</v>
      </c>
      <c r="K44" s="8"/>
      <c r="L44" s="8"/>
    </row>
    <row r="45" spans="1:12">
      <c r="A45" s="8"/>
      <c r="B45" s="8"/>
      <c r="C45" s="8"/>
      <c r="D45" s="8"/>
      <c r="E45" s="8"/>
      <c r="F45" s="24"/>
      <c r="G45" s="24"/>
      <c r="H45" s="24"/>
      <c r="I45" s="24"/>
      <c r="J45" s="25"/>
      <c r="K45" s="8"/>
      <c r="L45" s="8"/>
    </row>
    <row r="46" spans="1:12" ht="15.75" thickBot="1">
      <c r="A46" s="8"/>
      <c r="B46" s="8"/>
      <c r="C46" s="8" t="s">
        <v>10</v>
      </c>
      <c r="D46" s="30">
        <f t="shared" ref="D46:I46" si="6">SUM(D44:D45)</f>
        <v>6855.96</v>
      </c>
      <c r="E46" s="30">
        <f t="shared" si="6"/>
        <v>0</v>
      </c>
      <c r="F46" s="30">
        <f t="shared" si="6"/>
        <v>0</v>
      </c>
      <c r="G46" s="30">
        <f t="shared" si="6"/>
        <v>0</v>
      </c>
      <c r="H46" s="30">
        <f t="shared" si="6"/>
        <v>0</v>
      </c>
      <c r="I46" s="30">
        <f t="shared" si="6"/>
        <v>0</v>
      </c>
      <c r="J46" s="31">
        <f>SUM(D46:I46)</f>
        <v>6855.96</v>
      </c>
      <c r="K46" s="8"/>
      <c r="L46" s="8"/>
    </row>
    <row r="47" spans="1:12" ht="15.75" thickTop="1">
      <c r="A47" s="8"/>
      <c r="B47" s="8"/>
      <c r="C47" s="8"/>
      <c r="D47" s="8"/>
      <c r="E47" s="8"/>
      <c r="F47" s="15"/>
      <c r="G47" s="8"/>
      <c r="H47" s="8"/>
      <c r="I47" s="8"/>
      <c r="J47" s="20"/>
      <c r="K47" s="8"/>
      <c r="L47" s="8"/>
    </row>
    <row r="48" spans="1:12">
      <c r="A48" s="8"/>
      <c r="B48" s="8"/>
      <c r="C48" s="8"/>
      <c r="D48" s="8"/>
      <c r="E48" s="8"/>
      <c r="F48" s="15"/>
      <c r="G48" s="8"/>
      <c r="H48" s="8"/>
      <c r="I48" s="8"/>
      <c r="J48" s="20"/>
      <c r="K48" s="8"/>
      <c r="L48" s="8"/>
    </row>
    <row r="49" spans="1:12">
      <c r="A49" s="8"/>
      <c r="B49" s="8"/>
      <c r="C49" s="8"/>
      <c r="D49" s="8"/>
      <c r="E49" s="8"/>
      <c r="F49" s="15"/>
      <c r="G49" s="15"/>
      <c r="H49" s="15"/>
      <c r="I49" s="15"/>
      <c r="J49" s="20"/>
      <c r="K49" s="8"/>
      <c r="L49" s="8"/>
    </row>
    <row r="50" spans="1:12">
      <c r="A50" s="8"/>
      <c r="B50" s="8"/>
      <c r="C50" s="8"/>
      <c r="D50" s="8"/>
      <c r="E50" s="8"/>
      <c r="F50" s="15"/>
      <c r="G50" s="15"/>
      <c r="H50" s="15"/>
      <c r="I50" s="15"/>
      <c r="J50" s="20"/>
      <c r="K50" s="8"/>
      <c r="L50" s="8"/>
    </row>
    <row r="51" spans="1:12">
      <c r="A51" s="8">
        <v>28</v>
      </c>
      <c r="B51" s="8" t="s">
        <v>21</v>
      </c>
      <c r="C51" s="8" t="s">
        <v>12</v>
      </c>
      <c r="D51" s="8">
        <v>5863.06</v>
      </c>
      <c r="E51" s="8">
        <v>334.81</v>
      </c>
      <c r="F51" s="15">
        <v>185.24</v>
      </c>
      <c r="G51" s="15"/>
      <c r="H51" s="15"/>
      <c r="I51" s="15"/>
      <c r="J51" s="20">
        <f>SUM(D51:I51)</f>
        <v>6383.1100000000006</v>
      </c>
      <c r="K51" s="8"/>
      <c r="L51" s="8"/>
    </row>
    <row r="52" spans="1:12" ht="15.75" thickBot="1">
      <c r="A52" s="8"/>
      <c r="B52" s="8"/>
      <c r="C52" s="8" t="s">
        <v>13</v>
      </c>
      <c r="D52" s="27">
        <v>181.61</v>
      </c>
      <c r="E52" s="27">
        <v>10.91</v>
      </c>
      <c r="F52" s="28">
        <v>6.09</v>
      </c>
      <c r="G52" s="28"/>
      <c r="H52" s="28"/>
      <c r="I52" s="28"/>
      <c r="J52" s="29">
        <f>SUM(D52:I52)</f>
        <v>198.61</v>
      </c>
      <c r="K52" s="8"/>
      <c r="L52" s="8"/>
    </row>
    <row r="53" spans="1:12">
      <c r="A53" s="8"/>
      <c r="B53" s="8"/>
      <c r="C53" s="8"/>
      <c r="D53" s="8"/>
      <c r="E53" s="8"/>
      <c r="F53" s="15"/>
      <c r="G53" s="15"/>
      <c r="H53" s="15"/>
      <c r="I53" s="15"/>
      <c r="J53" s="20"/>
      <c r="K53" s="8"/>
      <c r="L53" s="8"/>
    </row>
    <row r="54" spans="1:12" ht="15.75" thickBot="1">
      <c r="A54" s="8"/>
      <c r="B54" s="8"/>
      <c r="C54" s="8" t="s">
        <v>10</v>
      </c>
      <c r="D54" s="30">
        <f t="shared" ref="D54:I54" si="7">SUM(D51:D52)</f>
        <v>6044.67</v>
      </c>
      <c r="E54" s="30">
        <f t="shared" si="7"/>
        <v>345.72</v>
      </c>
      <c r="F54" s="30">
        <f t="shared" si="7"/>
        <v>191.33</v>
      </c>
      <c r="G54" s="30">
        <f t="shared" si="7"/>
        <v>0</v>
      </c>
      <c r="H54" s="30">
        <f t="shared" si="7"/>
        <v>0</v>
      </c>
      <c r="I54" s="30">
        <f t="shared" si="7"/>
        <v>0</v>
      </c>
      <c r="J54" s="31">
        <f>SUM(D54:I54)</f>
        <v>6581.72</v>
      </c>
      <c r="K54" s="8"/>
      <c r="L54" s="8"/>
    </row>
    <row r="55" spans="1:12" ht="15.75" thickTop="1">
      <c r="A55" s="8"/>
      <c r="B55" s="8"/>
      <c r="C55" s="8"/>
      <c r="D55" s="8"/>
      <c r="E55" s="8"/>
      <c r="F55" s="15"/>
      <c r="G55" s="15"/>
      <c r="H55" s="15"/>
      <c r="I55" s="15"/>
      <c r="J55" s="20"/>
      <c r="K55" s="8"/>
      <c r="L55" s="8"/>
    </row>
    <row r="56" spans="1:12">
      <c r="A56" s="8"/>
      <c r="B56" s="8"/>
      <c r="C56" s="8"/>
      <c r="D56" s="8"/>
      <c r="E56" s="8"/>
      <c r="F56" s="15"/>
      <c r="G56" s="15"/>
      <c r="H56" s="15"/>
      <c r="I56" s="15"/>
      <c r="J56" s="20"/>
      <c r="K56" s="8"/>
      <c r="L56" s="8"/>
    </row>
    <row r="57" spans="1:12">
      <c r="A57" s="8">
        <v>29</v>
      </c>
      <c r="B57" s="8" t="s">
        <v>22</v>
      </c>
      <c r="C57" s="8" t="s">
        <v>12</v>
      </c>
      <c r="D57" s="8">
        <v>10615.86</v>
      </c>
      <c r="E57" s="8"/>
      <c r="F57" s="15"/>
      <c r="G57" s="15"/>
      <c r="H57" s="15"/>
      <c r="I57" s="15"/>
      <c r="J57" s="20">
        <f>SUM(D57:I57)</f>
        <v>10615.86</v>
      </c>
      <c r="K57" s="8"/>
      <c r="L57" s="8"/>
    </row>
    <row r="58" spans="1:12">
      <c r="A58" s="8"/>
      <c r="B58" s="8"/>
      <c r="C58" s="8" t="s">
        <v>35</v>
      </c>
      <c r="D58" s="8">
        <v>567.73</v>
      </c>
      <c r="E58" s="8"/>
      <c r="F58" s="15"/>
      <c r="G58" s="15"/>
      <c r="H58" s="15"/>
      <c r="I58" s="15"/>
      <c r="J58" s="20">
        <f>SUM(D58:I58)</f>
        <v>567.73</v>
      </c>
      <c r="K58" s="8"/>
      <c r="L58" s="8"/>
    </row>
    <row r="59" spans="1:12">
      <c r="A59" s="8"/>
      <c r="B59" s="8"/>
      <c r="C59" s="8" t="s">
        <v>13</v>
      </c>
      <c r="D59" s="8">
        <v>854.56</v>
      </c>
      <c r="E59" s="8"/>
      <c r="F59" s="15"/>
      <c r="G59" s="15"/>
      <c r="H59" s="15"/>
      <c r="I59" s="15"/>
      <c r="J59" s="20">
        <f>SUM(D59:I59)</f>
        <v>854.56</v>
      </c>
      <c r="K59" s="8"/>
      <c r="L59" s="8"/>
    </row>
    <row r="60" spans="1:12" ht="15.75" thickBot="1">
      <c r="A60" s="8"/>
      <c r="B60" s="8"/>
      <c r="C60" s="8" t="s">
        <v>78</v>
      </c>
      <c r="D60" s="27">
        <v>1421.95</v>
      </c>
      <c r="E60" s="27"/>
      <c r="F60" s="28"/>
      <c r="G60" s="28"/>
      <c r="H60" s="28"/>
      <c r="I60" s="28"/>
      <c r="J60" s="29">
        <f>SUM(D60:I60)</f>
        <v>1421.95</v>
      </c>
      <c r="K60" s="8"/>
      <c r="L60" s="8"/>
    </row>
    <row r="61" spans="1:12">
      <c r="A61" s="8"/>
      <c r="B61" s="8"/>
      <c r="C61" s="8"/>
      <c r="D61" s="8"/>
      <c r="E61" s="8"/>
      <c r="F61" s="15"/>
      <c r="G61" s="15"/>
      <c r="H61" s="15"/>
      <c r="I61" s="15"/>
      <c r="J61" s="20"/>
      <c r="K61" s="8"/>
      <c r="L61" s="8"/>
    </row>
    <row r="62" spans="1:12" ht="15.75" thickBot="1">
      <c r="A62" s="8"/>
      <c r="B62" s="8"/>
      <c r="C62" s="8" t="s">
        <v>10</v>
      </c>
      <c r="D62" s="30">
        <f t="shared" ref="D62:I62" si="8">SUM(D57:D60)</f>
        <v>13460.1</v>
      </c>
      <c r="E62" s="30">
        <f t="shared" si="8"/>
        <v>0</v>
      </c>
      <c r="F62" s="30">
        <f t="shared" si="8"/>
        <v>0</v>
      </c>
      <c r="G62" s="30">
        <f t="shared" si="8"/>
        <v>0</v>
      </c>
      <c r="H62" s="30">
        <f t="shared" si="8"/>
        <v>0</v>
      </c>
      <c r="I62" s="30">
        <f t="shared" si="8"/>
        <v>0</v>
      </c>
      <c r="J62" s="31">
        <f>SUM(D62:I62)</f>
        <v>13460.1</v>
      </c>
      <c r="K62" s="8"/>
      <c r="L62" s="8"/>
    </row>
    <row r="63" spans="1:12" ht="15.75" thickTop="1">
      <c r="A63" s="8"/>
      <c r="B63" s="8"/>
      <c r="C63" s="8"/>
      <c r="D63" s="8"/>
      <c r="E63" s="8"/>
      <c r="F63" s="15"/>
      <c r="G63" s="15"/>
      <c r="H63" s="15"/>
      <c r="I63" s="15"/>
      <c r="J63" s="20"/>
      <c r="K63" s="8"/>
      <c r="L63" s="8"/>
    </row>
    <row r="64" spans="1:12">
      <c r="A64" s="8">
        <v>30</v>
      </c>
      <c r="B64" s="8" t="s">
        <v>23</v>
      </c>
      <c r="C64" s="8" t="s">
        <v>12</v>
      </c>
      <c r="D64" s="8">
        <v>5646.17</v>
      </c>
      <c r="E64" s="8">
        <v>219.05</v>
      </c>
      <c r="F64" s="15">
        <v>92.61</v>
      </c>
      <c r="G64" s="15">
        <v>16.02</v>
      </c>
      <c r="H64" s="15"/>
      <c r="I64" s="15"/>
      <c r="J64" s="20">
        <f>SUM(D64:I64)</f>
        <v>5973.85</v>
      </c>
      <c r="K64" s="8"/>
      <c r="L64" s="8"/>
    </row>
    <row r="65" spans="1:12" ht="15.75" thickBot="1">
      <c r="A65" s="8"/>
      <c r="B65" s="8"/>
      <c r="C65" s="8" t="s">
        <v>13</v>
      </c>
      <c r="D65" s="27"/>
      <c r="E65" s="27"/>
      <c r="F65" s="28"/>
      <c r="G65" s="28"/>
      <c r="H65" s="28"/>
      <c r="I65" s="28"/>
      <c r="J65" s="29"/>
      <c r="K65" s="8"/>
      <c r="L65" s="8"/>
    </row>
    <row r="66" spans="1:12">
      <c r="A66" s="8"/>
      <c r="B66" s="8"/>
      <c r="C66" s="8"/>
      <c r="D66" s="8"/>
      <c r="E66" s="8"/>
      <c r="F66" s="15"/>
      <c r="G66" s="15"/>
      <c r="H66" s="15"/>
      <c r="I66" s="15"/>
      <c r="J66" s="20"/>
      <c r="K66" s="8"/>
      <c r="L66" s="8"/>
    </row>
    <row r="67" spans="1:12" ht="15.75" thickBot="1">
      <c r="A67" s="8"/>
      <c r="B67" s="8"/>
      <c r="C67" s="15" t="s">
        <v>10</v>
      </c>
      <c r="D67" s="30">
        <f t="shared" ref="D67:I67" si="9">SUM(D64:D65)</f>
        <v>5646.17</v>
      </c>
      <c r="E67" s="30">
        <f t="shared" si="9"/>
        <v>219.05</v>
      </c>
      <c r="F67" s="30">
        <f t="shared" si="9"/>
        <v>92.61</v>
      </c>
      <c r="G67" s="30">
        <f t="shared" si="9"/>
        <v>16.02</v>
      </c>
      <c r="H67" s="30">
        <f t="shared" si="9"/>
        <v>0</v>
      </c>
      <c r="I67" s="30">
        <f t="shared" si="9"/>
        <v>0</v>
      </c>
      <c r="J67" s="31">
        <f>SUM(D67:I67)</f>
        <v>5973.85</v>
      </c>
      <c r="K67" s="8"/>
      <c r="L67" s="8"/>
    </row>
    <row r="68" spans="1:12" ht="15.75" thickTop="1">
      <c r="A68" s="8"/>
      <c r="B68" s="8"/>
      <c r="C68" s="8"/>
      <c r="D68" s="8"/>
      <c r="E68" s="8"/>
      <c r="F68" s="15"/>
      <c r="G68" s="15"/>
      <c r="H68" s="15"/>
      <c r="I68" s="15"/>
      <c r="J68" s="20"/>
      <c r="K68" s="8"/>
      <c r="L68" s="8"/>
    </row>
    <row r="69" spans="1:12">
      <c r="A69" s="8"/>
      <c r="B69" s="8"/>
      <c r="C69" s="8"/>
      <c r="D69" s="8"/>
      <c r="E69" s="8"/>
      <c r="F69" s="15"/>
      <c r="G69" s="15"/>
      <c r="H69" s="15"/>
      <c r="I69" s="15"/>
      <c r="J69" s="20"/>
      <c r="K69" s="8"/>
      <c r="L69" s="8"/>
    </row>
    <row r="70" spans="1:12">
      <c r="A70" s="8">
        <v>31</v>
      </c>
      <c r="B70" s="8" t="s">
        <v>24</v>
      </c>
      <c r="C70" s="8" t="s">
        <v>12</v>
      </c>
      <c r="D70" s="8">
        <v>2111.27</v>
      </c>
      <c r="E70" s="15"/>
      <c r="F70" s="15"/>
      <c r="G70" s="15"/>
      <c r="H70" s="15"/>
      <c r="I70" s="15"/>
      <c r="J70" s="20">
        <f>SUM(D70:I70)</f>
        <v>2111.27</v>
      </c>
      <c r="K70" s="8"/>
      <c r="L70" s="8"/>
    </row>
    <row r="71" spans="1:12" ht="15.75" thickBot="1">
      <c r="A71" s="8"/>
      <c r="B71" s="8"/>
      <c r="C71" s="8" t="s">
        <v>13</v>
      </c>
      <c r="D71" s="27">
        <v>78</v>
      </c>
      <c r="E71" s="28"/>
      <c r="F71" s="28"/>
      <c r="G71" s="28"/>
      <c r="H71" s="28"/>
      <c r="I71" s="28"/>
      <c r="J71" s="29">
        <f>SUM(D71:I71)</f>
        <v>78</v>
      </c>
      <c r="K71" s="8"/>
      <c r="L71" s="8"/>
    </row>
    <row r="72" spans="1:12">
      <c r="A72" s="8"/>
      <c r="B72" s="8"/>
      <c r="C72" s="8"/>
      <c r="D72" s="8"/>
      <c r="E72" s="8"/>
      <c r="F72" s="15"/>
      <c r="G72" s="15"/>
      <c r="H72" s="15"/>
      <c r="I72" s="15"/>
      <c r="J72" s="20"/>
      <c r="K72" s="8"/>
      <c r="L72" s="8"/>
    </row>
    <row r="73" spans="1:12" ht="15.75" thickBot="1">
      <c r="A73" s="8"/>
      <c r="B73" s="8"/>
      <c r="C73" s="8" t="s">
        <v>10</v>
      </c>
      <c r="D73" s="30">
        <f t="shared" ref="D73:I73" si="10">SUM(D70:D71)</f>
        <v>2189.27</v>
      </c>
      <c r="E73" s="30">
        <f t="shared" si="10"/>
        <v>0</v>
      </c>
      <c r="F73" s="30">
        <f t="shared" si="10"/>
        <v>0</v>
      </c>
      <c r="G73" s="30">
        <f t="shared" si="10"/>
        <v>0</v>
      </c>
      <c r="H73" s="30">
        <f t="shared" si="10"/>
        <v>0</v>
      </c>
      <c r="I73" s="30">
        <f t="shared" si="10"/>
        <v>0</v>
      </c>
      <c r="J73" s="31">
        <f>SUM(D73:I73)</f>
        <v>2189.27</v>
      </c>
      <c r="K73" s="8"/>
      <c r="L73" s="8"/>
    </row>
    <row r="74" spans="1:12" ht="15.75" thickTop="1">
      <c r="A74" s="8"/>
      <c r="B74" s="8"/>
      <c r="C74" s="8"/>
      <c r="D74" s="8"/>
      <c r="E74" s="8"/>
      <c r="F74" s="15"/>
      <c r="G74" s="15"/>
      <c r="H74" s="15"/>
      <c r="I74" s="15"/>
      <c r="J74" s="20"/>
      <c r="K74" s="8"/>
      <c r="L74" s="8"/>
    </row>
    <row r="75" spans="1:12">
      <c r="A75" s="8"/>
      <c r="B75" s="8"/>
      <c r="C75" s="8"/>
      <c r="D75" s="8"/>
      <c r="E75" s="8"/>
      <c r="F75" s="15"/>
      <c r="G75" s="15"/>
      <c r="H75" s="15"/>
      <c r="I75" s="15"/>
      <c r="J75" s="20"/>
      <c r="K75" s="8"/>
      <c r="L75" s="8"/>
    </row>
    <row r="76" spans="1:12">
      <c r="A76" s="8">
        <v>32</v>
      </c>
      <c r="B76" s="8" t="s">
        <v>25</v>
      </c>
      <c r="C76" s="8" t="s">
        <v>12</v>
      </c>
      <c r="D76" s="8">
        <v>12736.01</v>
      </c>
      <c r="E76" s="8">
        <v>432.62</v>
      </c>
      <c r="F76" s="15">
        <v>401.21</v>
      </c>
      <c r="G76" s="15">
        <v>252.63</v>
      </c>
      <c r="H76" s="15"/>
      <c r="I76" s="15"/>
      <c r="J76" s="20">
        <f>SUM(D76:I76)</f>
        <v>13822.47</v>
      </c>
      <c r="K76" s="8"/>
      <c r="L76" s="8"/>
    </row>
    <row r="77" spans="1:12">
      <c r="A77" s="8"/>
      <c r="B77" s="8"/>
      <c r="C77" s="8" t="s">
        <v>13</v>
      </c>
      <c r="D77" s="8">
        <v>257.10000000000002</v>
      </c>
      <c r="E77" s="8">
        <v>9.68</v>
      </c>
      <c r="F77" s="15">
        <v>8.93</v>
      </c>
      <c r="G77" s="15">
        <v>5.99</v>
      </c>
      <c r="H77" s="15"/>
      <c r="I77" s="15"/>
      <c r="J77" s="20">
        <f>SUM(D77:I77)</f>
        <v>281.70000000000005</v>
      </c>
      <c r="K77" s="8"/>
      <c r="L77" s="8"/>
    </row>
    <row r="78" spans="1:12">
      <c r="A78" s="8"/>
      <c r="B78" s="8"/>
      <c r="C78" s="8" t="s">
        <v>73</v>
      </c>
      <c r="D78" s="26"/>
      <c r="E78" s="26"/>
      <c r="F78" s="26"/>
      <c r="G78" s="8"/>
      <c r="H78" s="26"/>
      <c r="I78" s="8"/>
      <c r="J78" s="20">
        <f>SUM(D78:I78)</f>
        <v>0</v>
      </c>
      <c r="K78" s="8"/>
      <c r="L78" s="8"/>
    </row>
    <row r="79" spans="1:12" ht="15.75" thickBot="1">
      <c r="A79" s="8"/>
      <c r="B79" s="8"/>
      <c r="C79" s="8" t="s">
        <v>78</v>
      </c>
      <c r="D79" s="33"/>
      <c r="E79" s="33"/>
      <c r="F79" s="33"/>
      <c r="G79" s="27"/>
      <c r="H79" s="27"/>
      <c r="I79" s="27"/>
      <c r="J79" s="29">
        <f>SUM(D79:I79)</f>
        <v>0</v>
      </c>
      <c r="K79" s="8"/>
      <c r="L79" s="8"/>
    </row>
    <row r="80" spans="1:12">
      <c r="A80" s="8"/>
      <c r="B80" s="8"/>
      <c r="C80" s="8"/>
      <c r="D80" s="8"/>
      <c r="E80" s="8"/>
      <c r="F80" s="15"/>
      <c r="G80" s="8"/>
      <c r="H80" s="8"/>
      <c r="I80" s="8"/>
      <c r="J80" s="20"/>
      <c r="K80" s="8"/>
      <c r="L80" s="8"/>
    </row>
    <row r="81" spans="1:12" ht="15.75" thickBot="1">
      <c r="A81" s="8"/>
      <c r="B81" s="8"/>
      <c r="C81" s="8" t="s">
        <v>10</v>
      </c>
      <c r="D81" s="30">
        <f t="shared" ref="D81:I81" si="11">SUM(D76:D79)</f>
        <v>12993.11</v>
      </c>
      <c r="E81" s="30">
        <f t="shared" si="11"/>
        <v>442.3</v>
      </c>
      <c r="F81" s="30">
        <f t="shared" si="11"/>
        <v>410.14</v>
      </c>
      <c r="G81" s="30">
        <f t="shared" si="11"/>
        <v>258.62</v>
      </c>
      <c r="H81" s="30">
        <f t="shared" si="11"/>
        <v>0</v>
      </c>
      <c r="I81" s="30">
        <f t="shared" si="11"/>
        <v>0</v>
      </c>
      <c r="J81" s="31">
        <f>SUM(D81:I81)</f>
        <v>14104.17</v>
      </c>
      <c r="K81" s="8"/>
      <c r="L81" s="8"/>
    </row>
    <row r="82" spans="1:12" ht="15.75" thickTop="1">
      <c r="A82" s="8"/>
      <c r="B82" s="8"/>
      <c r="C82" s="8"/>
      <c r="D82" s="8"/>
      <c r="E82" s="8"/>
      <c r="F82" s="15"/>
      <c r="G82" s="15"/>
      <c r="H82" s="15"/>
      <c r="I82" s="15"/>
      <c r="J82" s="20"/>
      <c r="K82" s="8"/>
      <c r="L82" s="8"/>
    </row>
    <row r="83" spans="1:12">
      <c r="A83" s="8"/>
      <c r="B83" s="8"/>
      <c r="C83" s="8"/>
      <c r="D83" s="8"/>
      <c r="E83" s="8"/>
      <c r="F83" s="15"/>
      <c r="G83" s="15"/>
      <c r="H83" s="15"/>
      <c r="I83" s="15"/>
      <c r="J83" s="20"/>
      <c r="K83" s="8"/>
      <c r="L83" s="8"/>
    </row>
    <row r="84" spans="1:12">
      <c r="A84" s="8">
        <v>33</v>
      </c>
      <c r="B84" s="8" t="s">
        <v>26</v>
      </c>
      <c r="C84" s="8" t="s">
        <v>12</v>
      </c>
      <c r="D84" s="8">
        <v>7172.66</v>
      </c>
      <c r="E84" s="8">
        <v>257.32</v>
      </c>
      <c r="F84" s="15">
        <v>258.95999999999998</v>
      </c>
      <c r="G84" s="15">
        <v>132.69</v>
      </c>
      <c r="H84" s="15"/>
      <c r="I84" s="15"/>
      <c r="J84" s="20">
        <f>SUM(D84:I84)</f>
        <v>7821.6299999999992</v>
      </c>
      <c r="K84" s="8"/>
      <c r="L84" s="8"/>
    </row>
    <row r="85" spans="1:12" ht="15.75" thickBot="1">
      <c r="A85" s="8"/>
      <c r="B85" s="8"/>
      <c r="C85" s="8" t="s">
        <v>13</v>
      </c>
      <c r="D85" s="27">
        <v>115.85</v>
      </c>
      <c r="E85" s="27">
        <v>4.08</v>
      </c>
      <c r="F85" s="28">
        <v>4.07</v>
      </c>
      <c r="G85" s="28">
        <v>1.8</v>
      </c>
      <c r="H85" s="28"/>
      <c r="I85" s="28"/>
      <c r="J85" s="29">
        <f>SUM(D85:I85)</f>
        <v>125.8</v>
      </c>
      <c r="K85" s="8"/>
      <c r="L85" s="8"/>
    </row>
    <row r="86" spans="1:12">
      <c r="A86" s="8"/>
      <c r="B86" s="8"/>
      <c r="C86" s="8"/>
      <c r="D86" s="8"/>
      <c r="E86" s="8"/>
      <c r="F86" s="15"/>
      <c r="G86" s="15"/>
      <c r="H86" s="15"/>
      <c r="I86" s="15"/>
      <c r="J86" s="20"/>
      <c r="K86" s="8"/>
      <c r="L86" s="8"/>
    </row>
    <row r="87" spans="1:12" ht="15.75" thickBot="1">
      <c r="A87" s="8"/>
      <c r="B87" s="8"/>
      <c r="C87" s="8" t="s">
        <v>10</v>
      </c>
      <c r="D87" s="30">
        <f t="shared" ref="D87:I87" si="12">SUM(D84:D85)</f>
        <v>7288.51</v>
      </c>
      <c r="E87" s="30">
        <f t="shared" si="12"/>
        <v>261.39999999999998</v>
      </c>
      <c r="F87" s="30">
        <f t="shared" si="12"/>
        <v>263.02999999999997</v>
      </c>
      <c r="G87" s="30">
        <f t="shared" si="12"/>
        <v>134.49</v>
      </c>
      <c r="H87" s="30">
        <f t="shared" si="12"/>
        <v>0</v>
      </c>
      <c r="I87" s="30">
        <f t="shared" si="12"/>
        <v>0</v>
      </c>
      <c r="J87" s="31">
        <f>SUM(D87:I87)</f>
        <v>7947.4299999999994</v>
      </c>
      <c r="K87" s="8"/>
      <c r="L87" s="8"/>
    </row>
    <row r="88" spans="1:12" ht="15.75" thickTop="1">
      <c r="A88" s="8"/>
      <c r="B88" s="8"/>
      <c r="C88" s="8"/>
      <c r="D88" s="8"/>
      <c r="E88" s="8"/>
      <c r="F88" s="15"/>
      <c r="G88" s="15"/>
      <c r="H88" s="15"/>
      <c r="I88" s="15"/>
      <c r="J88" s="20"/>
      <c r="K88" s="8"/>
      <c r="L88" s="8"/>
    </row>
    <row r="89" spans="1:12">
      <c r="A89" s="8"/>
      <c r="B89" s="8"/>
      <c r="C89" s="8"/>
      <c r="D89" s="8"/>
      <c r="E89" s="8"/>
      <c r="F89" s="15"/>
      <c r="G89" s="15"/>
      <c r="H89" s="15"/>
      <c r="I89" s="15"/>
      <c r="J89" s="20"/>
      <c r="K89" s="8"/>
      <c r="L89" s="8"/>
    </row>
    <row r="90" spans="1:12">
      <c r="A90" s="8">
        <v>34</v>
      </c>
      <c r="B90" s="8" t="s">
        <v>27</v>
      </c>
      <c r="C90" s="8" t="s">
        <v>12</v>
      </c>
      <c r="D90" s="8">
        <v>6898.04</v>
      </c>
      <c r="E90" s="8">
        <v>161.82</v>
      </c>
      <c r="F90" s="15">
        <v>152.09</v>
      </c>
      <c r="G90" s="15">
        <v>146.41</v>
      </c>
      <c r="H90" s="15">
        <v>142.08000000000001</v>
      </c>
      <c r="I90" s="15"/>
      <c r="J90" s="20">
        <f>SUM(D90:I90)</f>
        <v>7500.44</v>
      </c>
      <c r="K90" s="8"/>
      <c r="L90" s="8"/>
    </row>
    <row r="91" spans="1:12">
      <c r="A91" s="8"/>
      <c r="B91" s="8"/>
      <c r="C91" s="8" t="s">
        <v>13</v>
      </c>
      <c r="D91" s="8">
        <v>575.44000000000005</v>
      </c>
      <c r="E91" s="8">
        <v>12.98</v>
      </c>
      <c r="F91" s="15">
        <v>12.26</v>
      </c>
      <c r="G91" s="15">
        <v>11.82</v>
      </c>
      <c r="H91" s="15">
        <v>12.55</v>
      </c>
      <c r="I91" s="15"/>
      <c r="J91" s="20">
        <f>SUM(D91:I91)</f>
        <v>625.05000000000007</v>
      </c>
      <c r="K91" s="8"/>
      <c r="L91" s="8"/>
    </row>
    <row r="92" spans="1:12" ht="15.75" thickBot="1">
      <c r="A92" s="8"/>
      <c r="B92" s="8"/>
      <c r="C92" s="8" t="s">
        <v>78</v>
      </c>
      <c r="D92" s="27">
        <v>1099.03</v>
      </c>
      <c r="E92" s="27">
        <v>25.83</v>
      </c>
      <c r="F92" s="28">
        <v>25.2</v>
      </c>
      <c r="G92" s="28">
        <v>23.62</v>
      </c>
      <c r="H92" s="28">
        <v>23.83</v>
      </c>
      <c r="I92" s="28"/>
      <c r="J92" s="29">
        <f>SUM(D92:I92)</f>
        <v>1197.5099999999998</v>
      </c>
      <c r="K92" s="8"/>
      <c r="L92" s="8"/>
    </row>
    <row r="93" spans="1:12">
      <c r="A93" s="8"/>
      <c r="B93" s="8"/>
      <c r="C93" s="8"/>
      <c r="D93" s="8"/>
      <c r="E93" s="8"/>
      <c r="F93" s="15"/>
      <c r="G93" s="15"/>
      <c r="H93" s="15"/>
      <c r="I93" s="15"/>
      <c r="J93" s="20"/>
      <c r="K93" s="8"/>
      <c r="L93" s="8"/>
    </row>
    <row r="94" spans="1:12" ht="15.75" thickBot="1">
      <c r="A94" s="8"/>
      <c r="B94" s="8"/>
      <c r="C94" s="8" t="s">
        <v>10</v>
      </c>
      <c r="D94" s="30">
        <f t="shared" ref="D94:I94" si="13">SUM(D90:D93)</f>
        <v>8572.51</v>
      </c>
      <c r="E94" s="30">
        <f t="shared" si="13"/>
        <v>200.63</v>
      </c>
      <c r="F94" s="30">
        <f t="shared" si="13"/>
        <v>189.54999999999998</v>
      </c>
      <c r="G94" s="30">
        <f t="shared" si="13"/>
        <v>181.85</v>
      </c>
      <c r="H94" s="30">
        <f t="shared" si="13"/>
        <v>178.46000000000004</v>
      </c>
      <c r="I94" s="30">
        <f t="shared" si="13"/>
        <v>0</v>
      </c>
      <c r="J94" s="31">
        <f>SUM(D94:I94)</f>
        <v>9323</v>
      </c>
      <c r="K94" s="8"/>
      <c r="L94" s="8"/>
    </row>
    <row r="95" spans="1:12" ht="15.75" thickTop="1">
      <c r="A95" s="8"/>
      <c r="B95" s="8"/>
      <c r="C95" s="8"/>
      <c r="D95" s="8"/>
      <c r="E95" s="8"/>
      <c r="F95" s="15"/>
      <c r="G95" s="15"/>
      <c r="H95" s="15"/>
      <c r="I95" s="15"/>
      <c r="J95" s="20"/>
      <c r="K95" s="8"/>
      <c r="L95" s="8"/>
    </row>
    <row r="96" spans="1:12">
      <c r="A96" s="8"/>
      <c r="B96" s="8"/>
      <c r="C96" s="8"/>
      <c r="D96" s="8"/>
      <c r="E96" s="8"/>
      <c r="F96" s="15"/>
      <c r="G96" s="15"/>
      <c r="H96" s="15"/>
      <c r="I96" s="15"/>
      <c r="J96" s="20"/>
      <c r="K96" s="8"/>
      <c r="L96" s="8"/>
    </row>
    <row r="97" spans="1:12" ht="15.75" thickBot="1">
      <c r="A97" s="8">
        <v>35</v>
      </c>
      <c r="B97" s="8" t="s">
        <v>28</v>
      </c>
      <c r="C97" s="8" t="s">
        <v>12</v>
      </c>
      <c r="D97" s="27">
        <v>5361.21</v>
      </c>
      <c r="E97" s="27">
        <v>70.63</v>
      </c>
      <c r="F97" s="28">
        <v>71.59</v>
      </c>
      <c r="G97" s="28">
        <v>71.900000000000006</v>
      </c>
      <c r="H97" s="28">
        <v>66.27</v>
      </c>
      <c r="I97" s="28">
        <v>0.68</v>
      </c>
      <c r="J97" s="29">
        <f>SUM(D97:I97)</f>
        <v>5642.2800000000007</v>
      </c>
      <c r="K97" s="8"/>
      <c r="L97" s="8"/>
    </row>
    <row r="98" spans="1:12">
      <c r="A98" s="8"/>
      <c r="B98" s="8"/>
      <c r="C98" s="8"/>
      <c r="D98" s="8"/>
      <c r="E98" s="8"/>
      <c r="F98" s="24"/>
      <c r="G98" s="24"/>
      <c r="H98" s="24"/>
      <c r="I98" s="24"/>
      <c r="J98" s="25"/>
      <c r="K98" s="8"/>
      <c r="L98" s="8"/>
    </row>
    <row r="99" spans="1:12" ht="15.75" thickBot="1">
      <c r="A99" s="8"/>
      <c r="B99" s="8"/>
      <c r="C99" s="8" t="s">
        <v>10</v>
      </c>
      <c r="D99" s="30">
        <f t="shared" ref="D99:I99" si="14">SUM(D97:D98)</f>
        <v>5361.21</v>
      </c>
      <c r="E99" s="30">
        <f t="shared" si="14"/>
        <v>70.63</v>
      </c>
      <c r="F99" s="30">
        <f t="shared" si="14"/>
        <v>71.59</v>
      </c>
      <c r="G99" s="30">
        <f t="shared" si="14"/>
        <v>71.900000000000006</v>
      </c>
      <c r="H99" s="30">
        <f t="shared" si="14"/>
        <v>66.27</v>
      </c>
      <c r="I99" s="30">
        <f t="shared" si="14"/>
        <v>0.68</v>
      </c>
      <c r="J99" s="31">
        <f>SUM(D99:I99)</f>
        <v>5642.2800000000007</v>
      </c>
      <c r="K99" s="8"/>
      <c r="L99" s="8"/>
    </row>
    <row r="100" spans="1:12" ht="15.75" thickTop="1">
      <c r="A100" s="8"/>
      <c r="B100" s="8"/>
      <c r="C100" s="8"/>
      <c r="D100" s="8"/>
      <c r="E100" s="8"/>
      <c r="F100" s="15"/>
      <c r="G100" s="15"/>
      <c r="H100" s="15"/>
      <c r="I100" s="15"/>
      <c r="J100" s="20"/>
      <c r="K100" s="8"/>
      <c r="L100" s="8"/>
    </row>
    <row r="101" spans="1:12">
      <c r="A101" s="8"/>
      <c r="B101" s="8"/>
      <c r="C101" s="8"/>
      <c r="D101" s="8"/>
      <c r="E101" s="8"/>
      <c r="F101" s="15"/>
      <c r="G101" s="15"/>
      <c r="H101" s="15"/>
      <c r="I101" s="15"/>
      <c r="J101" s="20"/>
      <c r="K101" s="8"/>
      <c r="L101" s="8"/>
    </row>
    <row r="102" spans="1:12">
      <c r="A102" s="8">
        <v>36</v>
      </c>
      <c r="B102" s="8" t="s">
        <v>29</v>
      </c>
      <c r="C102" s="8" t="s">
        <v>12</v>
      </c>
      <c r="D102" s="8">
        <v>5720.51</v>
      </c>
      <c r="E102" s="8">
        <v>317.66000000000003</v>
      </c>
      <c r="F102" s="15">
        <v>53.05</v>
      </c>
      <c r="G102" s="15">
        <v>34.450000000000003</v>
      </c>
      <c r="H102" s="15">
        <v>33.619999999999997</v>
      </c>
      <c r="I102" s="15"/>
      <c r="J102" s="20">
        <f>SUM(D102:I102)</f>
        <v>6159.29</v>
      </c>
      <c r="K102" s="8"/>
      <c r="L102" s="8"/>
    </row>
    <row r="103" spans="1:12" ht="15.75" thickBot="1">
      <c r="A103" s="8"/>
      <c r="B103" s="8"/>
      <c r="C103" s="8" t="s">
        <v>13</v>
      </c>
      <c r="D103" s="27">
        <v>447.21</v>
      </c>
      <c r="E103" s="27">
        <v>23.59</v>
      </c>
      <c r="F103" s="28">
        <v>3.63</v>
      </c>
      <c r="G103" s="28">
        <v>2.4300000000000002</v>
      </c>
      <c r="H103" s="28">
        <v>2.19</v>
      </c>
      <c r="I103" s="28"/>
      <c r="J103" s="29">
        <f>SUM(D103:I103)</f>
        <v>479.04999999999995</v>
      </c>
      <c r="K103" s="8"/>
      <c r="L103" s="8"/>
    </row>
    <row r="104" spans="1:12">
      <c r="A104" s="8"/>
      <c r="B104" s="8"/>
      <c r="C104" s="8"/>
      <c r="D104" s="8"/>
      <c r="E104" s="8"/>
      <c r="F104" s="15"/>
      <c r="G104" s="15"/>
      <c r="H104" s="15"/>
      <c r="I104" s="15"/>
      <c r="J104" s="20"/>
      <c r="K104" s="8"/>
      <c r="L104" s="8"/>
    </row>
    <row r="105" spans="1:12" ht="15.75" thickBot="1">
      <c r="A105" s="8"/>
      <c r="B105" s="8"/>
      <c r="C105" s="8" t="s">
        <v>10</v>
      </c>
      <c r="D105" s="30">
        <f t="shared" ref="D105:I105" si="15">SUM(D102:D103)</f>
        <v>6167.72</v>
      </c>
      <c r="E105" s="30">
        <f t="shared" si="15"/>
        <v>341.25</v>
      </c>
      <c r="F105" s="30">
        <f t="shared" si="15"/>
        <v>56.68</v>
      </c>
      <c r="G105" s="30">
        <f t="shared" si="15"/>
        <v>36.880000000000003</v>
      </c>
      <c r="H105" s="30">
        <f t="shared" si="15"/>
        <v>35.809999999999995</v>
      </c>
      <c r="I105" s="30">
        <f t="shared" si="15"/>
        <v>0</v>
      </c>
      <c r="J105" s="31">
        <f>SUM(D105:I105)</f>
        <v>6638.3400000000011</v>
      </c>
      <c r="K105" s="8"/>
      <c r="L105" s="8"/>
    </row>
    <row r="106" spans="1:12" ht="15.75" thickTop="1">
      <c r="A106" s="8"/>
      <c r="B106" s="8"/>
      <c r="C106" s="8"/>
      <c r="D106" s="8"/>
      <c r="E106" s="8"/>
      <c r="F106" s="15"/>
      <c r="G106" s="15"/>
      <c r="H106" s="15"/>
      <c r="I106" s="15"/>
      <c r="J106" s="20"/>
      <c r="K106" s="8"/>
      <c r="L106" s="8"/>
    </row>
    <row r="107" spans="1:12">
      <c r="A107" s="8"/>
      <c r="B107" s="8"/>
      <c r="C107" s="8"/>
      <c r="D107" s="8"/>
      <c r="E107" s="8"/>
      <c r="F107" s="15"/>
      <c r="G107" s="15"/>
      <c r="H107" s="15"/>
      <c r="I107" s="15"/>
      <c r="J107" s="20"/>
      <c r="K107" s="8"/>
      <c r="L107" s="8"/>
    </row>
    <row r="108" spans="1:12" ht="15.75" thickBot="1">
      <c r="A108" s="8">
        <v>37</v>
      </c>
      <c r="B108" s="8" t="s">
        <v>30</v>
      </c>
      <c r="C108" s="8" t="s">
        <v>12</v>
      </c>
      <c r="D108" s="27">
        <v>6477.37</v>
      </c>
      <c r="E108" s="27">
        <v>473.04</v>
      </c>
      <c r="F108" s="28">
        <v>320.52</v>
      </c>
      <c r="G108" s="28">
        <v>152.43</v>
      </c>
      <c r="H108" s="28">
        <v>127.73</v>
      </c>
      <c r="I108" s="28"/>
      <c r="J108" s="29">
        <f>SUM(D108:I108)</f>
        <v>7551.09</v>
      </c>
      <c r="K108" s="8"/>
      <c r="L108" s="8"/>
    </row>
    <row r="109" spans="1:12">
      <c r="A109" s="8"/>
      <c r="B109" s="8"/>
      <c r="C109" s="8"/>
      <c r="D109" s="8"/>
      <c r="E109" s="8"/>
      <c r="F109" s="24"/>
      <c r="G109" s="24"/>
      <c r="H109" s="24"/>
      <c r="I109" s="24"/>
      <c r="J109" s="25"/>
      <c r="K109" s="8"/>
      <c r="L109" s="8"/>
    </row>
    <row r="110" spans="1:12" ht="15.75" thickBot="1">
      <c r="A110" s="8"/>
      <c r="B110" s="8"/>
      <c r="C110" s="8" t="s">
        <v>10</v>
      </c>
      <c r="D110" s="30">
        <f t="shared" ref="D110:I110" si="16">SUM(D108:D109)</f>
        <v>6477.37</v>
      </c>
      <c r="E110" s="30">
        <f t="shared" si="16"/>
        <v>473.04</v>
      </c>
      <c r="F110" s="30">
        <f t="shared" si="16"/>
        <v>320.52</v>
      </c>
      <c r="G110" s="30">
        <f t="shared" si="16"/>
        <v>152.43</v>
      </c>
      <c r="H110" s="30">
        <f t="shared" si="16"/>
        <v>127.73</v>
      </c>
      <c r="I110" s="30">
        <f t="shared" si="16"/>
        <v>0</v>
      </c>
      <c r="J110" s="31">
        <f>SUM(D110:I110)</f>
        <v>7551.09</v>
      </c>
      <c r="K110" s="8"/>
      <c r="L110" s="8"/>
    </row>
    <row r="111" spans="1:12" ht="15.75" thickTop="1">
      <c r="A111" s="8"/>
      <c r="B111" s="8"/>
      <c r="C111" s="8"/>
      <c r="D111" s="8"/>
      <c r="E111" s="8"/>
      <c r="F111" s="15"/>
      <c r="G111" s="15"/>
      <c r="H111" s="15"/>
      <c r="I111" s="15"/>
      <c r="J111" s="20"/>
      <c r="K111" s="8"/>
      <c r="L111" s="8"/>
    </row>
    <row r="112" spans="1:12">
      <c r="A112" s="8"/>
      <c r="B112" s="8"/>
      <c r="C112" s="8"/>
      <c r="D112" s="8"/>
      <c r="E112" s="8"/>
      <c r="F112" s="15"/>
      <c r="G112" s="15"/>
      <c r="H112" s="15"/>
      <c r="I112" s="15"/>
      <c r="J112" s="20"/>
      <c r="K112" s="8"/>
      <c r="L112" s="8"/>
    </row>
    <row r="113" spans="1:12">
      <c r="A113" s="8">
        <v>38</v>
      </c>
      <c r="B113" s="8" t="s">
        <v>31</v>
      </c>
      <c r="C113" s="8" t="s">
        <v>12</v>
      </c>
      <c r="D113" s="8">
        <v>5665.28</v>
      </c>
      <c r="E113" s="8">
        <v>-0.27</v>
      </c>
      <c r="F113" s="15"/>
      <c r="G113" s="15"/>
      <c r="H113" s="15"/>
      <c r="I113" s="15"/>
      <c r="J113" s="20">
        <f>SUM(D113:I113)</f>
        <v>5665.0099999999993</v>
      </c>
      <c r="K113" s="8"/>
      <c r="L113" s="8"/>
    </row>
    <row r="114" spans="1:12">
      <c r="A114" s="8"/>
      <c r="B114" s="8"/>
      <c r="C114" s="8" t="s">
        <v>35</v>
      </c>
      <c r="D114" s="8">
        <v>724.19</v>
      </c>
      <c r="E114" s="15">
        <v>0.15</v>
      </c>
      <c r="F114" s="15"/>
      <c r="G114" s="15"/>
      <c r="H114" s="15"/>
      <c r="I114" s="15"/>
      <c r="J114" s="20">
        <f>SUM(D114:I114)</f>
        <v>724.34</v>
      </c>
      <c r="K114" s="8"/>
      <c r="L114" s="8"/>
    </row>
    <row r="115" spans="1:12">
      <c r="A115" s="8"/>
      <c r="B115" s="8"/>
      <c r="C115" s="8" t="s">
        <v>13</v>
      </c>
      <c r="D115" s="8">
        <v>599.47</v>
      </c>
      <c r="E115" s="8">
        <v>0.2</v>
      </c>
      <c r="F115" s="15"/>
      <c r="G115" s="15"/>
      <c r="H115" s="15"/>
      <c r="I115" s="15"/>
      <c r="J115" s="20">
        <f>SUM(D115:I115)</f>
        <v>599.67000000000007</v>
      </c>
      <c r="K115" s="8"/>
      <c r="L115" s="8"/>
    </row>
    <row r="116" spans="1:12" ht="15.75" thickBot="1">
      <c r="A116" s="8"/>
      <c r="B116" s="8"/>
      <c r="C116" s="8" t="s">
        <v>78</v>
      </c>
      <c r="D116" s="27">
        <v>1133.2</v>
      </c>
      <c r="E116" s="27">
        <v>0.1</v>
      </c>
      <c r="F116" s="28"/>
      <c r="G116" s="28"/>
      <c r="H116" s="28"/>
      <c r="I116" s="28"/>
      <c r="J116" s="29">
        <f>SUM(D116:I116)</f>
        <v>1133.3</v>
      </c>
      <c r="K116" s="8"/>
      <c r="L116" s="8"/>
    </row>
    <row r="117" spans="1:12">
      <c r="A117" s="8"/>
      <c r="B117" s="8"/>
      <c r="C117" s="8"/>
      <c r="D117" s="8"/>
      <c r="E117" s="8"/>
      <c r="F117" s="15"/>
      <c r="G117" s="15"/>
      <c r="H117" s="15"/>
      <c r="I117" s="15"/>
      <c r="J117" s="20"/>
      <c r="K117" s="8"/>
      <c r="L117" s="8"/>
    </row>
    <row r="118" spans="1:12" ht="15.75" thickBot="1">
      <c r="A118" s="8"/>
      <c r="B118" s="8"/>
      <c r="C118" s="8" t="s">
        <v>10</v>
      </c>
      <c r="D118" s="30">
        <f t="shared" ref="D118:I118" si="17">SUM(D113:D116)</f>
        <v>8122.1399999999994</v>
      </c>
      <c r="E118" s="30">
        <f t="shared" si="17"/>
        <v>0.18</v>
      </c>
      <c r="F118" s="30">
        <f t="shared" si="17"/>
        <v>0</v>
      </c>
      <c r="G118" s="30">
        <f t="shared" si="17"/>
        <v>0</v>
      </c>
      <c r="H118" s="30">
        <f t="shared" si="17"/>
        <v>0</v>
      </c>
      <c r="I118" s="30">
        <f t="shared" si="17"/>
        <v>0</v>
      </c>
      <c r="J118" s="31">
        <f>SUM(D118:I118)</f>
        <v>8122.32</v>
      </c>
      <c r="K118" s="8"/>
      <c r="L118" s="8"/>
    </row>
    <row r="119" spans="1:12" ht="15.75" thickTop="1">
      <c r="A119" s="8"/>
      <c r="B119" s="8"/>
      <c r="C119" s="8"/>
      <c r="D119" s="8"/>
      <c r="E119" s="8"/>
      <c r="F119" s="15"/>
      <c r="G119" s="15"/>
      <c r="H119" s="15"/>
      <c r="I119" s="15"/>
      <c r="J119" s="20"/>
      <c r="K119" s="8"/>
      <c r="L119" s="8"/>
    </row>
    <row r="120" spans="1:12">
      <c r="A120" s="8"/>
      <c r="B120" s="8"/>
      <c r="C120" s="8"/>
      <c r="D120" s="8"/>
      <c r="E120" s="8"/>
      <c r="F120" s="15"/>
      <c r="G120" s="15"/>
      <c r="H120" s="15"/>
      <c r="I120" s="15"/>
      <c r="J120" s="20"/>
      <c r="K120" s="8"/>
      <c r="L120" s="8"/>
    </row>
    <row r="121" spans="1:12" ht="15.75" thickBot="1">
      <c r="A121" s="8">
        <v>39</v>
      </c>
      <c r="B121" s="8" t="s">
        <v>32</v>
      </c>
      <c r="C121" s="8" t="s">
        <v>12</v>
      </c>
      <c r="D121" s="28"/>
      <c r="E121" s="28">
        <v>0</v>
      </c>
      <c r="F121" s="28">
        <v>0</v>
      </c>
      <c r="G121" s="28">
        <v>0</v>
      </c>
      <c r="H121" s="28">
        <v>0</v>
      </c>
      <c r="I121" s="28">
        <v>0</v>
      </c>
      <c r="J121" s="29">
        <f>SUM(D121:I121)</f>
        <v>0</v>
      </c>
      <c r="K121" s="8"/>
      <c r="L121" s="8"/>
    </row>
    <row r="122" spans="1:12">
      <c r="A122" s="8"/>
      <c r="B122" s="8"/>
      <c r="C122" s="8"/>
      <c r="D122" s="8"/>
      <c r="E122" s="8"/>
      <c r="F122" s="15"/>
      <c r="G122" s="15"/>
      <c r="H122" s="15"/>
      <c r="I122" s="15"/>
      <c r="J122" s="20"/>
      <c r="K122" s="8"/>
      <c r="L122" s="8"/>
    </row>
    <row r="123" spans="1:12" ht="15.75" thickBot="1">
      <c r="A123" s="8"/>
      <c r="B123" s="8"/>
      <c r="C123" s="8" t="s">
        <v>10</v>
      </c>
      <c r="D123" s="30">
        <f t="shared" ref="D123:J123" si="18">D121</f>
        <v>0</v>
      </c>
      <c r="E123" s="30">
        <f t="shared" si="18"/>
        <v>0</v>
      </c>
      <c r="F123" s="30">
        <f t="shared" si="18"/>
        <v>0</v>
      </c>
      <c r="G123" s="30">
        <f t="shared" si="18"/>
        <v>0</v>
      </c>
      <c r="H123" s="30">
        <f t="shared" si="18"/>
        <v>0</v>
      </c>
      <c r="I123" s="30">
        <f t="shared" si="18"/>
        <v>0</v>
      </c>
      <c r="J123" s="30">
        <f t="shared" si="18"/>
        <v>0</v>
      </c>
      <c r="K123" s="8"/>
      <c r="L123" s="8"/>
    </row>
    <row r="124" spans="1:12" ht="15.75" thickTop="1">
      <c r="A124" s="8"/>
      <c r="B124" s="8"/>
      <c r="C124" s="8"/>
      <c r="D124" s="8"/>
      <c r="E124" s="8"/>
      <c r="F124" s="15"/>
      <c r="G124" s="15"/>
      <c r="H124" s="15"/>
      <c r="I124" s="15"/>
      <c r="J124" s="20"/>
      <c r="K124" s="8"/>
      <c r="L124" s="8"/>
    </row>
    <row r="125" spans="1:12">
      <c r="A125" s="8"/>
      <c r="B125" s="8"/>
      <c r="C125" s="8"/>
      <c r="D125" s="8"/>
      <c r="E125" s="8"/>
      <c r="F125" s="15"/>
      <c r="G125" s="15"/>
      <c r="H125" s="15"/>
      <c r="I125" s="15"/>
      <c r="J125" s="20"/>
      <c r="K125" s="8"/>
      <c r="L125" s="8"/>
    </row>
    <row r="126" spans="1:12" ht="15.75" thickBot="1">
      <c r="A126" s="8">
        <v>40</v>
      </c>
      <c r="B126" s="8" t="s">
        <v>33</v>
      </c>
      <c r="C126" s="8" t="s">
        <v>12</v>
      </c>
      <c r="D126" s="27">
        <v>8154.91</v>
      </c>
      <c r="E126" s="27">
        <v>248.38</v>
      </c>
      <c r="F126" s="28">
        <v>146.22999999999999</v>
      </c>
      <c r="G126" s="28">
        <v>142.99</v>
      </c>
      <c r="H126" s="28">
        <v>141.69</v>
      </c>
      <c r="I126" s="28"/>
      <c r="J126" s="29">
        <f>SUM(D126:I126)</f>
        <v>8834.1999999999989</v>
      </c>
      <c r="K126" s="8"/>
      <c r="L126" s="8"/>
    </row>
    <row r="127" spans="1:12">
      <c r="A127" s="8"/>
      <c r="B127" s="8"/>
      <c r="C127" s="8"/>
      <c r="D127" s="8"/>
      <c r="E127" s="8"/>
      <c r="F127" s="24"/>
      <c r="G127" s="24"/>
      <c r="H127" s="24"/>
      <c r="I127" s="24"/>
      <c r="J127" s="25"/>
      <c r="K127" s="8"/>
      <c r="L127" s="8"/>
    </row>
    <row r="128" spans="1:12" ht="15.75" thickBot="1">
      <c r="A128" s="8"/>
      <c r="B128" s="8"/>
      <c r="C128" s="8" t="s">
        <v>10</v>
      </c>
      <c r="D128" s="30">
        <f t="shared" ref="D128:I128" si="19">SUM(D126:D127)</f>
        <v>8154.91</v>
      </c>
      <c r="E128" s="30">
        <f t="shared" si="19"/>
        <v>248.38</v>
      </c>
      <c r="F128" s="30">
        <f t="shared" si="19"/>
        <v>146.22999999999999</v>
      </c>
      <c r="G128" s="30">
        <f t="shared" si="19"/>
        <v>142.99</v>
      </c>
      <c r="H128" s="30">
        <f t="shared" si="19"/>
        <v>141.69</v>
      </c>
      <c r="I128" s="30">
        <f t="shared" si="19"/>
        <v>0</v>
      </c>
      <c r="J128" s="31">
        <f>SUM(D128:I128)</f>
        <v>8834.1999999999989</v>
      </c>
      <c r="K128" s="8"/>
      <c r="L128" s="8"/>
    </row>
    <row r="129" spans="1:12" ht="15.75" thickTop="1">
      <c r="A129" s="8"/>
      <c r="B129" s="8"/>
      <c r="C129" s="8"/>
      <c r="D129" s="8"/>
      <c r="E129" s="8"/>
      <c r="F129" s="15"/>
      <c r="G129" s="15"/>
      <c r="H129" s="15"/>
      <c r="I129" s="15"/>
      <c r="J129" s="20"/>
      <c r="K129" s="8"/>
      <c r="L129" s="8"/>
    </row>
    <row r="130" spans="1:12">
      <c r="A130" s="8"/>
      <c r="B130" s="8"/>
      <c r="C130" s="8"/>
      <c r="D130" s="8"/>
      <c r="E130" s="8"/>
      <c r="F130" s="15"/>
      <c r="G130" s="15"/>
      <c r="H130" s="15"/>
      <c r="I130" s="15"/>
      <c r="J130" s="20"/>
      <c r="K130" s="8"/>
      <c r="L130" s="8"/>
    </row>
    <row r="131" spans="1:12">
      <c r="A131" s="8">
        <v>41</v>
      </c>
      <c r="B131" s="8" t="s">
        <v>34</v>
      </c>
      <c r="C131" s="8" t="s">
        <v>12</v>
      </c>
      <c r="D131" s="8">
        <v>6019.92</v>
      </c>
      <c r="E131" s="8">
        <v>249</v>
      </c>
      <c r="F131" s="15"/>
      <c r="G131" s="15"/>
      <c r="H131" s="15"/>
      <c r="I131" s="15"/>
      <c r="J131" s="20">
        <f>SUM(D131:I131)</f>
        <v>6268.92</v>
      </c>
      <c r="K131" s="8"/>
      <c r="L131" s="8"/>
    </row>
    <row r="132" spans="1:12" ht="15.75" thickBot="1">
      <c r="A132" s="8"/>
      <c r="B132" s="8"/>
      <c r="C132" s="8" t="s">
        <v>35</v>
      </c>
      <c r="D132" s="27">
        <v>290.72000000000003</v>
      </c>
      <c r="E132" s="27">
        <v>11.92</v>
      </c>
      <c r="F132" s="28"/>
      <c r="G132" s="28"/>
      <c r="H132" s="28"/>
      <c r="I132" s="28"/>
      <c r="J132" s="29">
        <f>SUM(D132:I132)</f>
        <v>302.64000000000004</v>
      </c>
      <c r="K132" s="8"/>
      <c r="L132" s="8"/>
    </row>
    <row r="133" spans="1:12">
      <c r="A133" s="8"/>
      <c r="B133" s="8"/>
      <c r="C133" s="8"/>
      <c r="D133" s="8"/>
      <c r="E133" s="8"/>
      <c r="F133" s="15"/>
      <c r="G133" s="15"/>
      <c r="H133" s="15"/>
      <c r="I133" s="15"/>
      <c r="J133" s="20"/>
      <c r="K133" s="8"/>
      <c r="L133" s="8"/>
    </row>
    <row r="134" spans="1:12" ht="15.75" thickBot="1">
      <c r="A134" s="8"/>
      <c r="B134" s="8"/>
      <c r="C134" s="8" t="s">
        <v>10</v>
      </c>
      <c r="D134" s="30">
        <f t="shared" ref="D134:I134" si="20">SUM(D131:D132)</f>
        <v>6310.64</v>
      </c>
      <c r="E134" s="30">
        <f t="shared" si="20"/>
        <v>260.92</v>
      </c>
      <c r="F134" s="30">
        <f t="shared" si="20"/>
        <v>0</v>
      </c>
      <c r="G134" s="30">
        <f t="shared" si="20"/>
        <v>0</v>
      </c>
      <c r="H134" s="30">
        <f t="shared" si="20"/>
        <v>0</v>
      </c>
      <c r="I134" s="30">
        <f t="shared" si="20"/>
        <v>0</v>
      </c>
      <c r="J134" s="31">
        <f>SUM(D134:I134)</f>
        <v>6571.56</v>
      </c>
      <c r="K134" s="8"/>
      <c r="L134" s="8"/>
    </row>
    <row r="135" spans="1:12" ht="15.75" thickTop="1">
      <c r="A135" s="8"/>
      <c r="B135" s="8"/>
      <c r="C135" s="8"/>
      <c r="D135" s="8"/>
      <c r="E135" s="8"/>
      <c r="F135" s="15"/>
      <c r="G135" s="15"/>
      <c r="H135" s="15"/>
      <c r="I135" s="15"/>
      <c r="J135" s="20"/>
      <c r="K135" s="8"/>
      <c r="L135" s="8"/>
    </row>
    <row r="136" spans="1:12">
      <c r="A136" s="8"/>
      <c r="B136" s="8"/>
      <c r="C136" s="8"/>
      <c r="D136" s="8"/>
      <c r="E136" s="8"/>
      <c r="F136" s="15"/>
      <c r="G136" s="15"/>
      <c r="H136" s="15"/>
      <c r="I136" s="15"/>
      <c r="J136" s="20"/>
      <c r="K136" s="8"/>
      <c r="L136" s="8"/>
    </row>
    <row r="137" spans="1:12">
      <c r="A137" s="8">
        <v>42</v>
      </c>
      <c r="B137" s="8" t="s">
        <v>36</v>
      </c>
      <c r="C137" s="8" t="s">
        <v>12</v>
      </c>
      <c r="D137" s="8">
        <v>9740.8799999999992</v>
      </c>
      <c r="E137" s="8">
        <v>209.58</v>
      </c>
      <c r="F137" s="15">
        <v>128.19</v>
      </c>
      <c r="G137" s="15">
        <v>120.51</v>
      </c>
      <c r="H137" s="15"/>
      <c r="I137" s="15"/>
      <c r="J137" s="20">
        <f>SUM(D137:I137)</f>
        <v>10199.16</v>
      </c>
      <c r="K137" s="8"/>
      <c r="L137" s="8"/>
    </row>
    <row r="138" spans="1:12" ht="15.75" thickBot="1">
      <c r="A138" s="8"/>
      <c r="B138" s="8"/>
      <c r="C138" s="8" t="s">
        <v>13</v>
      </c>
      <c r="D138" s="27">
        <v>477.53</v>
      </c>
      <c r="E138" s="27">
        <v>13.63</v>
      </c>
      <c r="F138" s="28">
        <v>7.99</v>
      </c>
      <c r="G138" s="28">
        <v>4.9800000000000004</v>
      </c>
      <c r="H138" s="28"/>
      <c r="I138" s="28"/>
      <c r="J138" s="29">
        <f>SUM(D138:I138)</f>
        <v>504.13</v>
      </c>
      <c r="K138" s="8"/>
      <c r="L138" s="8"/>
    </row>
    <row r="139" spans="1:12">
      <c r="A139" s="8"/>
      <c r="B139" s="8"/>
      <c r="C139" s="8"/>
      <c r="D139" s="8"/>
      <c r="E139" s="8"/>
      <c r="F139" s="15"/>
      <c r="G139" s="15"/>
      <c r="H139" s="15"/>
      <c r="I139" s="15"/>
      <c r="J139" s="20"/>
      <c r="K139" s="8"/>
      <c r="L139" s="8"/>
    </row>
    <row r="140" spans="1:12" ht="15.75" thickBot="1">
      <c r="A140" s="8"/>
      <c r="B140" s="8"/>
      <c r="C140" s="8" t="s">
        <v>10</v>
      </c>
      <c r="D140" s="30">
        <f t="shared" ref="D140:I140" si="21">SUM(D137:D138)</f>
        <v>10218.41</v>
      </c>
      <c r="E140" s="30">
        <f t="shared" si="21"/>
        <v>223.21</v>
      </c>
      <c r="F140" s="30">
        <f t="shared" si="21"/>
        <v>136.18</v>
      </c>
      <c r="G140" s="30">
        <f t="shared" si="21"/>
        <v>125.49000000000001</v>
      </c>
      <c r="H140" s="30">
        <f t="shared" si="21"/>
        <v>0</v>
      </c>
      <c r="I140" s="30">
        <f t="shared" si="21"/>
        <v>0</v>
      </c>
      <c r="J140" s="31">
        <f>SUM(D140:I140)</f>
        <v>10703.289999999999</v>
      </c>
      <c r="K140" s="8"/>
      <c r="L140" s="8"/>
    </row>
    <row r="141" spans="1:12" ht="15.75" thickTop="1">
      <c r="A141" s="8"/>
      <c r="B141" s="8"/>
      <c r="C141" s="8"/>
      <c r="D141" s="8"/>
      <c r="E141" s="8"/>
      <c r="F141" s="15"/>
      <c r="G141" s="15"/>
      <c r="H141" s="15"/>
      <c r="I141" s="15"/>
      <c r="J141" s="20"/>
      <c r="K141" s="8"/>
      <c r="L141" s="8"/>
    </row>
    <row r="142" spans="1:12">
      <c r="A142" s="8"/>
      <c r="B142" s="8"/>
      <c r="C142" s="8"/>
      <c r="D142" s="8"/>
      <c r="E142" s="8"/>
      <c r="F142" s="15"/>
      <c r="G142" s="15"/>
      <c r="H142" s="15"/>
      <c r="I142" s="15"/>
      <c r="J142" s="20"/>
      <c r="K142" s="8"/>
      <c r="L142" s="8"/>
    </row>
    <row r="143" spans="1:12">
      <c r="A143" s="8">
        <v>43</v>
      </c>
      <c r="B143" s="8" t="s">
        <v>37</v>
      </c>
      <c r="C143" s="8" t="s">
        <v>12</v>
      </c>
      <c r="D143" s="8">
        <v>6571.51</v>
      </c>
      <c r="E143" s="15"/>
      <c r="F143" s="15"/>
      <c r="G143" s="15"/>
      <c r="H143" s="15"/>
      <c r="I143" s="15"/>
      <c r="J143" s="20">
        <f>SUM(D143:I143)</f>
        <v>6571.51</v>
      </c>
      <c r="K143" s="8"/>
      <c r="L143" s="8"/>
    </row>
    <row r="144" spans="1:12">
      <c r="A144" s="8"/>
      <c r="B144" s="8"/>
      <c r="C144" s="8" t="s">
        <v>35</v>
      </c>
      <c r="D144" s="8">
        <v>364.69</v>
      </c>
      <c r="E144" s="15"/>
      <c r="F144" s="15"/>
      <c r="G144" s="15"/>
      <c r="H144" s="15"/>
      <c r="I144" s="15"/>
      <c r="J144" s="20">
        <f>SUM(D144:I144)</f>
        <v>364.69</v>
      </c>
      <c r="K144" s="8"/>
      <c r="L144" s="8"/>
    </row>
    <row r="145" spans="1:12">
      <c r="A145" s="8"/>
      <c r="B145" s="8"/>
      <c r="C145" s="8" t="s">
        <v>13</v>
      </c>
      <c r="D145" s="8">
        <v>551.04</v>
      </c>
      <c r="E145" s="15"/>
      <c r="F145" s="15"/>
      <c r="G145" s="15"/>
      <c r="H145" s="15"/>
      <c r="I145" s="15"/>
      <c r="J145" s="20">
        <f>SUM(D145:I145)</f>
        <v>551.04</v>
      </c>
      <c r="K145" s="8"/>
      <c r="L145" s="8"/>
    </row>
    <row r="146" spans="1:12" ht="15.75" thickBot="1">
      <c r="A146" s="8"/>
      <c r="B146" s="8"/>
      <c r="C146" s="8" t="s">
        <v>78</v>
      </c>
      <c r="D146" s="27">
        <v>1094.8499999999999</v>
      </c>
      <c r="E146" s="28"/>
      <c r="F146" s="28"/>
      <c r="G146" s="28"/>
      <c r="H146" s="28"/>
      <c r="I146" s="28"/>
      <c r="J146" s="29">
        <f>SUM(D146:I146)</f>
        <v>1094.8499999999999</v>
      </c>
      <c r="K146" s="8"/>
      <c r="L146" s="8"/>
    </row>
    <row r="147" spans="1:12">
      <c r="A147" s="8"/>
      <c r="B147" s="8"/>
      <c r="C147" s="8"/>
      <c r="D147" s="8"/>
      <c r="E147" s="15"/>
      <c r="F147" s="15"/>
      <c r="G147" s="15"/>
      <c r="H147" s="15"/>
      <c r="I147" s="15"/>
      <c r="J147" s="20"/>
      <c r="K147" s="8"/>
      <c r="L147" s="8"/>
    </row>
    <row r="148" spans="1:12" ht="15.75" thickBot="1">
      <c r="A148" s="8"/>
      <c r="B148" s="8"/>
      <c r="C148" s="8" t="s">
        <v>10</v>
      </c>
      <c r="D148" s="30">
        <f t="shared" ref="D148:I148" si="22">SUM(D143:D146)</f>
        <v>8582.09</v>
      </c>
      <c r="E148" s="30">
        <f t="shared" si="22"/>
        <v>0</v>
      </c>
      <c r="F148" s="30">
        <f t="shared" si="22"/>
        <v>0</v>
      </c>
      <c r="G148" s="30">
        <f t="shared" si="22"/>
        <v>0</v>
      </c>
      <c r="H148" s="30">
        <f t="shared" si="22"/>
        <v>0</v>
      </c>
      <c r="I148" s="30">
        <f t="shared" si="22"/>
        <v>0</v>
      </c>
      <c r="J148" s="31">
        <f>SUM(D148:I148)</f>
        <v>8582.09</v>
      </c>
      <c r="K148" s="8"/>
      <c r="L148" s="8"/>
    </row>
    <row r="149" spans="1:12" ht="15.75" thickTop="1">
      <c r="A149" s="8"/>
      <c r="B149" s="8"/>
      <c r="C149" s="8"/>
      <c r="D149" s="8"/>
      <c r="E149" s="8"/>
      <c r="F149" s="15"/>
      <c r="G149" s="15"/>
      <c r="H149" s="15"/>
      <c r="I149" s="15"/>
      <c r="J149" s="20"/>
      <c r="K149" s="8"/>
      <c r="L149" s="8"/>
    </row>
    <row r="150" spans="1:12">
      <c r="A150" s="8"/>
      <c r="B150" s="8"/>
      <c r="C150" s="8"/>
      <c r="D150" s="8"/>
      <c r="E150" s="8"/>
      <c r="F150" s="15"/>
      <c r="G150" s="15"/>
      <c r="H150" s="15"/>
      <c r="I150" s="15"/>
      <c r="J150" s="20"/>
      <c r="K150" s="8"/>
      <c r="L150" s="8"/>
    </row>
    <row r="151" spans="1:12" ht="15.75" thickBot="1">
      <c r="A151" s="8">
        <v>44</v>
      </c>
      <c r="B151" s="8" t="s">
        <v>38</v>
      </c>
      <c r="C151" s="8" t="s">
        <v>12</v>
      </c>
      <c r="D151" s="27">
        <v>11048.51</v>
      </c>
      <c r="E151" s="27">
        <v>94.08</v>
      </c>
      <c r="F151" s="28">
        <v>91.6</v>
      </c>
      <c r="G151" s="28">
        <v>86.78</v>
      </c>
      <c r="H151" s="28">
        <v>83.53</v>
      </c>
      <c r="I151" s="28"/>
      <c r="J151" s="29">
        <f>SUM(D151:I151)</f>
        <v>11404.500000000002</v>
      </c>
      <c r="K151" s="8"/>
      <c r="L151" s="8"/>
    </row>
    <row r="152" spans="1:12">
      <c r="A152" s="8"/>
      <c r="B152" s="8"/>
      <c r="C152" s="8"/>
      <c r="D152" s="8"/>
      <c r="E152" s="8"/>
      <c r="F152" s="24"/>
      <c r="G152" s="24"/>
      <c r="H152" s="24"/>
      <c r="I152" s="24"/>
      <c r="J152" s="25"/>
      <c r="K152" s="8"/>
      <c r="L152" s="8"/>
    </row>
    <row r="153" spans="1:12" ht="15.75" thickBot="1">
      <c r="A153" s="8"/>
      <c r="B153" s="8"/>
      <c r="C153" s="8" t="s">
        <v>10</v>
      </c>
      <c r="D153" s="30">
        <f t="shared" ref="D153:I153" si="23">SUM(D151:D152)</f>
        <v>11048.51</v>
      </c>
      <c r="E153" s="30">
        <f t="shared" si="23"/>
        <v>94.08</v>
      </c>
      <c r="F153" s="30">
        <f t="shared" si="23"/>
        <v>91.6</v>
      </c>
      <c r="G153" s="30">
        <f t="shared" si="23"/>
        <v>86.78</v>
      </c>
      <c r="H153" s="30">
        <f t="shared" si="23"/>
        <v>83.53</v>
      </c>
      <c r="I153" s="30">
        <f t="shared" si="23"/>
        <v>0</v>
      </c>
      <c r="J153" s="31">
        <f>SUM(D153:I153)</f>
        <v>11404.500000000002</v>
      </c>
      <c r="K153" s="8"/>
      <c r="L153" s="8"/>
    </row>
    <row r="154" spans="1:12" ht="15.75" thickTop="1">
      <c r="A154" s="8"/>
      <c r="B154" s="8"/>
      <c r="C154" s="8"/>
      <c r="D154" s="8"/>
      <c r="E154" s="8"/>
      <c r="F154" s="15"/>
      <c r="G154" s="15" t="s">
        <v>70</v>
      </c>
      <c r="H154" s="15" t="s">
        <v>70</v>
      </c>
      <c r="I154" s="15" t="s">
        <v>70</v>
      </c>
      <c r="J154" s="20"/>
      <c r="K154" s="8"/>
      <c r="L154" s="8"/>
    </row>
    <row r="155" spans="1:12">
      <c r="A155" s="8"/>
      <c r="B155" s="8"/>
      <c r="C155" s="8"/>
      <c r="D155" s="8"/>
      <c r="E155" s="8"/>
      <c r="F155" s="15"/>
      <c r="G155" s="15"/>
      <c r="H155" s="15"/>
      <c r="I155" s="15"/>
      <c r="J155" s="20"/>
      <c r="K155" s="8"/>
      <c r="L155" s="8"/>
    </row>
    <row r="156" spans="1:12" ht="15.75" thickBot="1">
      <c r="A156" s="8">
        <v>45</v>
      </c>
      <c r="B156" s="8" t="s">
        <v>39</v>
      </c>
      <c r="C156" s="8" t="s">
        <v>12</v>
      </c>
      <c r="D156" s="27">
        <v>5264.95</v>
      </c>
      <c r="E156" s="27">
        <v>194.47</v>
      </c>
      <c r="F156" s="28">
        <v>78.2</v>
      </c>
      <c r="G156" s="28">
        <v>41.27</v>
      </c>
      <c r="H156" s="28">
        <v>0.39</v>
      </c>
      <c r="I156" s="28"/>
      <c r="J156" s="29">
        <f>SUM(D156:I156)</f>
        <v>5579.2800000000007</v>
      </c>
      <c r="K156" s="8"/>
      <c r="L156" s="8"/>
    </row>
    <row r="157" spans="1:12">
      <c r="A157" s="8"/>
      <c r="B157" s="8"/>
      <c r="C157" s="8"/>
      <c r="D157" s="8"/>
      <c r="E157" s="8"/>
      <c r="F157" s="24"/>
      <c r="G157" s="24"/>
      <c r="H157" s="24"/>
      <c r="I157" s="24"/>
      <c r="J157" s="25"/>
      <c r="K157" s="8"/>
      <c r="L157" s="8"/>
    </row>
    <row r="158" spans="1:12" ht="15.75" thickBot="1">
      <c r="A158" s="8"/>
      <c r="B158" s="8"/>
      <c r="C158" s="8" t="s">
        <v>10</v>
      </c>
      <c r="D158" s="30">
        <f t="shared" ref="D158:I158" si="24">SUM(D156:D157)</f>
        <v>5264.95</v>
      </c>
      <c r="E158" s="30">
        <f t="shared" si="24"/>
        <v>194.47</v>
      </c>
      <c r="F158" s="30">
        <f t="shared" si="24"/>
        <v>78.2</v>
      </c>
      <c r="G158" s="30">
        <f t="shared" si="24"/>
        <v>41.27</v>
      </c>
      <c r="H158" s="30">
        <f t="shared" si="24"/>
        <v>0.39</v>
      </c>
      <c r="I158" s="30">
        <f t="shared" si="24"/>
        <v>0</v>
      </c>
      <c r="J158" s="31">
        <f>SUM(D158:I158)</f>
        <v>5579.2800000000007</v>
      </c>
      <c r="K158" s="8"/>
      <c r="L158" s="8"/>
    </row>
    <row r="159" spans="1:12" ht="15.75" thickTop="1">
      <c r="A159" s="8"/>
      <c r="B159" s="8"/>
      <c r="C159" s="8"/>
      <c r="D159" s="8"/>
      <c r="E159" s="8"/>
      <c r="F159" s="15"/>
      <c r="G159" s="15"/>
      <c r="H159" s="15"/>
      <c r="I159" s="15"/>
      <c r="J159" s="20"/>
      <c r="K159" s="8"/>
      <c r="L159" s="8"/>
    </row>
    <row r="160" spans="1:12">
      <c r="A160" s="8"/>
      <c r="B160" s="8"/>
      <c r="C160" s="8"/>
      <c r="D160" s="8"/>
      <c r="E160" s="8"/>
      <c r="F160" s="15"/>
      <c r="G160" s="15"/>
      <c r="H160" s="15"/>
      <c r="I160" s="15"/>
      <c r="J160" s="20"/>
      <c r="K160" s="8"/>
      <c r="L160" s="8"/>
    </row>
    <row r="161" spans="1:12" ht="15.75" thickBot="1">
      <c r="A161" s="8">
        <v>46</v>
      </c>
      <c r="B161" s="8" t="s">
        <v>40</v>
      </c>
      <c r="C161" s="8" t="s">
        <v>12</v>
      </c>
      <c r="D161" s="27">
        <v>4832.76</v>
      </c>
      <c r="E161" s="27">
        <v>1.48</v>
      </c>
      <c r="F161" s="28">
        <v>1.49</v>
      </c>
      <c r="G161" s="28">
        <v>1.57</v>
      </c>
      <c r="H161" s="28">
        <v>1.63</v>
      </c>
      <c r="I161" s="28"/>
      <c r="J161" s="29">
        <f>SUM(D161:I161)</f>
        <v>4838.9299999999994</v>
      </c>
      <c r="K161" s="8"/>
      <c r="L161" s="8"/>
    </row>
    <row r="162" spans="1:12">
      <c r="A162" s="8"/>
      <c r="B162" s="8"/>
      <c r="C162" s="8"/>
      <c r="D162" s="8"/>
      <c r="E162" s="8"/>
      <c r="F162" s="24"/>
      <c r="G162" s="24"/>
      <c r="H162" s="24"/>
      <c r="I162" s="24"/>
      <c r="J162" s="25"/>
      <c r="K162" s="8"/>
      <c r="L162" s="8"/>
    </row>
    <row r="163" spans="1:12" ht="15.75" thickBot="1">
      <c r="A163" s="8"/>
      <c r="B163" s="8"/>
      <c r="C163" s="8" t="s">
        <v>10</v>
      </c>
      <c r="D163" s="30">
        <f t="shared" ref="D163:I163" si="25">SUM(D161:D162)</f>
        <v>4832.76</v>
      </c>
      <c r="E163" s="30">
        <f t="shared" si="25"/>
        <v>1.48</v>
      </c>
      <c r="F163" s="30">
        <f t="shared" si="25"/>
        <v>1.49</v>
      </c>
      <c r="G163" s="30">
        <f t="shared" si="25"/>
        <v>1.57</v>
      </c>
      <c r="H163" s="30">
        <f t="shared" si="25"/>
        <v>1.63</v>
      </c>
      <c r="I163" s="30">
        <f t="shared" si="25"/>
        <v>0</v>
      </c>
      <c r="J163" s="31">
        <f>SUM(D163:I163)</f>
        <v>4838.9299999999994</v>
      </c>
      <c r="K163" s="8"/>
      <c r="L163" s="8"/>
    </row>
    <row r="164" spans="1:12" ht="15.75" thickTop="1">
      <c r="A164" s="8"/>
      <c r="B164" s="8"/>
      <c r="C164" s="8"/>
      <c r="D164" s="8"/>
      <c r="E164" s="8"/>
      <c r="F164" s="15"/>
      <c r="G164" s="15"/>
      <c r="H164" s="15"/>
      <c r="I164" s="15"/>
      <c r="J164" s="20"/>
      <c r="K164" s="8"/>
      <c r="L164" s="8"/>
    </row>
    <row r="165" spans="1:12">
      <c r="A165" s="8"/>
      <c r="B165" s="8"/>
      <c r="C165" s="8"/>
      <c r="D165" s="8"/>
      <c r="E165" s="8"/>
      <c r="F165" s="15"/>
      <c r="G165" s="15"/>
      <c r="H165" s="15"/>
      <c r="I165" s="15"/>
      <c r="J165" s="20"/>
      <c r="K165" s="8"/>
      <c r="L165" s="8"/>
    </row>
    <row r="166" spans="1:12" ht="15.75" thickBot="1">
      <c r="A166" s="8">
        <v>47</v>
      </c>
      <c r="B166" s="8" t="s">
        <v>41</v>
      </c>
      <c r="C166" s="8" t="s">
        <v>12</v>
      </c>
      <c r="D166" s="27">
        <v>4522.2</v>
      </c>
      <c r="E166" s="27">
        <v>339.21</v>
      </c>
      <c r="F166" s="28">
        <v>146.72999999999999</v>
      </c>
      <c r="G166" s="28">
        <v>6.18</v>
      </c>
      <c r="H166" s="28">
        <v>4.9800000000000004</v>
      </c>
      <c r="I166" s="28"/>
      <c r="J166" s="29">
        <f>SUM(D166:I166)</f>
        <v>5019.2999999999993</v>
      </c>
      <c r="K166" s="8"/>
      <c r="L166" s="8"/>
    </row>
    <row r="167" spans="1:12">
      <c r="A167" s="8"/>
      <c r="B167" s="8"/>
      <c r="C167" s="8"/>
      <c r="D167" s="8"/>
      <c r="E167" s="8"/>
      <c r="F167" s="24"/>
      <c r="G167" s="24"/>
      <c r="H167" s="24"/>
      <c r="I167" s="24"/>
      <c r="J167" s="25"/>
      <c r="K167" s="8"/>
      <c r="L167" s="8"/>
    </row>
    <row r="168" spans="1:12" ht="15.75" thickBot="1">
      <c r="A168" s="8"/>
      <c r="B168" s="8"/>
      <c r="C168" s="8" t="s">
        <v>10</v>
      </c>
      <c r="D168" s="30">
        <f t="shared" ref="D168:I168" si="26">SUM(D166:D167)</f>
        <v>4522.2</v>
      </c>
      <c r="E168" s="30">
        <f t="shared" si="26"/>
        <v>339.21</v>
      </c>
      <c r="F168" s="30">
        <f t="shared" si="26"/>
        <v>146.72999999999999</v>
      </c>
      <c r="G168" s="30">
        <f t="shared" si="26"/>
        <v>6.18</v>
      </c>
      <c r="H168" s="30">
        <f t="shared" si="26"/>
        <v>4.9800000000000004</v>
      </c>
      <c r="I168" s="30">
        <f t="shared" si="26"/>
        <v>0</v>
      </c>
      <c r="J168" s="31">
        <f>SUM(D168:I168)</f>
        <v>5019.2999999999993</v>
      </c>
      <c r="K168" s="8"/>
      <c r="L168" s="8"/>
    </row>
    <row r="169" spans="1:12" ht="15.75" thickTop="1">
      <c r="A169" s="8"/>
      <c r="B169" s="8"/>
      <c r="C169" s="8"/>
      <c r="D169" s="8"/>
      <c r="E169" s="8"/>
      <c r="F169" s="15"/>
      <c r="G169" s="15"/>
      <c r="H169" s="15"/>
      <c r="I169" s="15"/>
      <c r="J169" s="20"/>
      <c r="K169" s="8"/>
      <c r="L169" s="8"/>
    </row>
    <row r="170" spans="1:12">
      <c r="A170" s="8"/>
      <c r="B170" s="8"/>
      <c r="C170" s="8"/>
      <c r="D170" s="8"/>
      <c r="E170" s="8"/>
      <c r="F170" s="15"/>
      <c r="G170" s="15"/>
      <c r="H170" s="15"/>
      <c r="I170" s="15"/>
      <c r="J170" s="20"/>
      <c r="K170" s="8"/>
      <c r="L170" s="8"/>
    </row>
    <row r="171" spans="1:12" ht="15.75" thickBot="1">
      <c r="A171" s="8">
        <v>48</v>
      </c>
      <c r="B171" s="8" t="s">
        <v>42</v>
      </c>
      <c r="C171" s="8" t="s">
        <v>12</v>
      </c>
      <c r="D171" s="27">
        <v>9900.34</v>
      </c>
      <c r="E171" s="27">
        <v>198.13</v>
      </c>
      <c r="F171" s="28"/>
      <c r="G171" s="28"/>
      <c r="H171" s="28"/>
      <c r="I171" s="28"/>
      <c r="J171" s="29">
        <f>SUM(D171:I171)</f>
        <v>10098.469999999999</v>
      </c>
      <c r="K171" s="8"/>
      <c r="L171" s="8"/>
    </row>
    <row r="172" spans="1:12">
      <c r="A172" s="8"/>
      <c r="B172" s="8"/>
      <c r="C172" s="8"/>
      <c r="D172" s="8"/>
      <c r="E172" s="8"/>
      <c r="F172" s="15"/>
      <c r="G172" s="15"/>
      <c r="H172" s="15"/>
      <c r="I172" s="15"/>
      <c r="J172" s="20"/>
      <c r="K172" s="8"/>
      <c r="L172" s="8"/>
    </row>
    <row r="173" spans="1:12" ht="15.75" thickBot="1">
      <c r="A173" s="8"/>
      <c r="B173" s="8"/>
      <c r="C173" s="8" t="s">
        <v>10</v>
      </c>
      <c r="D173" s="30">
        <f t="shared" ref="D173:I173" si="27">SUM(D171:D172)</f>
        <v>9900.34</v>
      </c>
      <c r="E173" s="30">
        <f t="shared" si="27"/>
        <v>198.13</v>
      </c>
      <c r="F173" s="30">
        <f t="shared" si="27"/>
        <v>0</v>
      </c>
      <c r="G173" s="30">
        <f t="shared" si="27"/>
        <v>0</v>
      </c>
      <c r="H173" s="30">
        <f t="shared" si="27"/>
        <v>0</v>
      </c>
      <c r="I173" s="30">
        <f t="shared" si="27"/>
        <v>0</v>
      </c>
      <c r="J173" s="31">
        <f>SUM(D173:I173)</f>
        <v>10098.469999999999</v>
      </c>
      <c r="K173" s="8"/>
      <c r="L173" s="8"/>
    </row>
    <row r="174" spans="1:12" ht="15.75" thickTop="1">
      <c r="A174" s="8"/>
      <c r="B174" s="8"/>
      <c r="C174" s="8"/>
      <c r="D174" s="8"/>
      <c r="E174" s="8"/>
      <c r="F174" s="15"/>
      <c r="G174" s="15"/>
      <c r="H174" s="15"/>
      <c r="I174" s="15"/>
      <c r="J174" s="20"/>
      <c r="K174" s="8"/>
      <c r="L174" s="8"/>
    </row>
    <row r="175" spans="1:12">
      <c r="A175" s="8"/>
      <c r="B175" s="8"/>
      <c r="C175" s="8"/>
      <c r="D175" s="8"/>
      <c r="E175" s="8"/>
      <c r="F175" s="15"/>
      <c r="G175" s="15"/>
      <c r="H175" s="15"/>
      <c r="I175" s="15"/>
      <c r="J175" s="20"/>
      <c r="K175" s="8"/>
      <c r="L175" s="8"/>
    </row>
    <row r="176" spans="1:12" ht="15.75" thickBot="1">
      <c r="A176" s="8">
        <v>49</v>
      </c>
      <c r="B176" s="8" t="s">
        <v>43</v>
      </c>
      <c r="C176" s="8" t="s">
        <v>12</v>
      </c>
      <c r="D176" s="27">
        <v>13684.12</v>
      </c>
      <c r="E176" s="27">
        <v>455.73</v>
      </c>
      <c r="F176" s="28">
        <v>74.36</v>
      </c>
      <c r="G176" s="28">
        <v>33.880000000000003</v>
      </c>
      <c r="H176" s="28">
        <v>28.54</v>
      </c>
      <c r="I176" s="28"/>
      <c r="J176" s="29">
        <f>SUM(D176:I176)</f>
        <v>14276.630000000001</v>
      </c>
      <c r="K176" s="8"/>
      <c r="L176" s="8"/>
    </row>
    <row r="177" spans="1:12">
      <c r="A177" s="8"/>
      <c r="B177" s="8"/>
      <c r="C177" s="8"/>
      <c r="D177" s="8"/>
      <c r="E177" s="8"/>
      <c r="F177" s="24"/>
      <c r="G177" s="24"/>
      <c r="H177" s="24"/>
      <c r="I177" s="24"/>
      <c r="J177" s="25"/>
      <c r="K177" s="8"/>
      <c r="L177" s="8"/>
    </row>
    <row r="178" spans="1:12" ht="15.75" thickBot="1">
      <c r="A178" s="8"/>
      <c r="B178" s="8"/>
      <c r="C178" s="8" t="s">
        <v>10</v>
      </c>
      <c r="D178" s="30">
        <f t="shared" ref="D178:I178" si="28">SUM(D176:D177)</f>
        <v>13684.12</v>
      </c>
      <c r="E178" s="30">
        <f t="shared" si="28"/>
        <v>455.73</v>
      </c>
      <c r="F178" s="30">
        <f t="shared" si="28"/>
        <v>74.36</v>
      </c>
      <c r="G178" s="30">
        <f t="shared" si="28"/>
        <v>33.880000000000003</v>
      </c>
      <c r="H178" s="30">
        <f t="shared" si="28"/>
        <v>28.54</v>
      </c>
      <c r="I178" s="30">
        <f t="shared" si="28"/>
        <v>0</v>
      </c>
      <c r="J178" s="31">
        <f>SUM(D178:I178)</f>
        <v>14276.630000000001</v>
      </c>
      <c r="K178" s="8"/>
      <c r="L178" s="8"/>
    </row>
    <row r="179" spans="1:12" ht="15.75" thickTop="1">
      <c r="A179" s="8"/>
      <c r="B179" s="8"/>
      <c r="C179" s="8"/>
      <c r="D179" s="8"/>
      <c r="E179" s="8"/>
      <c r="F179" s="15"/>
      <c r="G179" s="15"/>
      <c r="H179" s="15"/>
      <c r="I179" s="15"/>
      <c r="J179" s="20"/>
      <c r="K179" s="8"/>
      <c r="L179" s="8"/>
    </row>
    <row r="180" spans="1:12">
      <c r="A180" s="8"/>
      <c r="B180" s="8"/>
      <c r="C180" s="8"/>
      <c r="D180" s="8"/>
      <c r="E180" s="8"/>
      <c r="F180" s="15"/>
      <c r="G180" s="15"/>
      <c r="H180" s="15"/>
      <c r="I180" s="15"/>
      <c r="J180" s="20"/>
      <c r="K180" s="8"/>
      <c r="L180" s="8"/>
    </row>
    <row r="181" spans="1:12">
      <c r="A181" s="8">
        <v>50</v>
      </c>
      <c r="B181" s="8" t="s">
        <v>44</v>
      </c>
      <c r="C181" s="8" t="s">
        <v>12</v>
      </c>
      <c r="D181" s="8">
        <v>3886.06</v>
      </c>
      <c r="E181" s="15">
        <v>78.72</v>
      </c>
      <c r="F181" s="15"/>
      <c r="G181" s="15"/>
      <c r="H181" s="15"/>
      <c r="I181" s="15"/>
      <c r="J181" s="20">
        <f>SUM(D181:I181)</f>
        <v>3964.7799999999997</v>
      </c>
      <c r="K181" s="8"/>
      <c r="L181" s="8"/>
    </row>
    <row r="182" spans="1:12" ht="15.75" thickBot="1">
      <c r="A182" s="8"/>
      <c r="B182" s="8"/>
      <c r="C182" s="8" t="s">
        <v>13</v>
      </c>
      <c r="D182" s="33">
        <v>97.15</v>
      </c>
      <c r="E182" s="28">
        <v>2.04</v>
      </c>
      <c r="F182" s="28"/>
      <c r="G182" s="28"/>
      <c r="H182" s="28"/>
      <c r="I182" s="28"/>
      <c r="J182" s="29">
        <f>SUM(D182:I182)</f>
        <v>99.190000000000012</v>
      </c>
      <c r="K182" s="8"/>
      <c r="L182" s="8"/>
    </row>
    <row r="183" spans="1:12">
      <c r="A183" s="8"/>
      <c r="B183" s="8"/>
      <c r="C183" s="8"/>
      <c r="D183" s="8"/>
      <c r="E183" s="8"/>
      <c r="F183" s="15"/>
      <c r="G183" s="15"/>
      <c r="H183" s="15"/>
      <c r="I183" s="15"/>
      <c r="J183" s="20"/>
      <c r="K183" s="8"/>
      <c r="L183" s="8"/>
    </row>
    <row r="184" spans="1:12" ht="15.75" thickBot="1">
      <c r="A184" s="8"/>
      <c r="B184" s="8"/>
      <c r="C184" s="8" t="s">
        <v>10</v>
      </c>
      <c r="D184" s="30">
        <f t="shared" ref="D184:I184" si="29">SUM(D181:D182)</f>
        <v>3983.21</v>
      </c>
      <c r="E184" s="30">
        <f t="shared" si="29"/>
        <v>80.760000000000005</v>
      </c>
      <c r="F184" s="30">
        <f t="shared" si="29"/>
        <v>0</v>
      </c>
      <c r="G184" s="30">
        <f t="shared" si="29"/>
        <v>0</v>
      </c>
      <c r="H184" s="30">
        <f t="shared" si="29"/>
        <v>0</v>
      </c>
      <c r="I184" s="30">
        <f t="shared" si="29"/>
        <v>0</v>
      </c>
      <c r="J184" s="31">
        <f>SUM(D184:I184)</f>
        <v>4063.9700000000003</v>
      </c>
      <c r="K184" s="8"/>
      <c r="L184" s="8"/>
    </row>
    <row r="185" spans="1:12" ht="15.75" thickTop="1">
      <c r="A185" s="8"/>
      <c r="B185" s="8"/>
      <c r="C185" s="8"/>
      <c r="D185" s="8"/>
      <c r="E185" s="8"/>
      <c r="F185" s="15"/>
      <c r="G185" s="15"/>
      <c r="H185" s="15"/>
      <c r="I185" s="15"/>
      <c r="J185" s="20"/>
      <c r="K185" s="8"/>
      <c r="L185" s="8"/>
    </row>
    <row r="186" spans="1:12">
      <c r="A186" s="8"/>
      <c r="B186" s="8"/>
      <c r="C186" s="8"/>
      <c r="D186" s="8"/>
      <c r="E186" s="8"/>
      <c r="F186" s="15"/>
      <c r="G186" s="15"/>
      <c r="H186" s="15"/>
      <c r="I186" s="15"/>
      <c r="J186" s="20"/>
      <c r="K186" s="8"/>
      <c r="L186" s="8"/>
    </row>
    <row r="187" spans="1:12">
      <c r="A187" s="8">
        <v>51</v>
      </c>
      <c r="B187" s="8" t="s">
        <v>45</v>
      </c>
      <c r="C187" s="8" t="s">
        <v>12</v>
      </c>
      <c r="D187" s="8">
        <v>12624.03</v>
      </c>
      <c r="E187" s="8">
        <v>719.46</v>
      </c>
      <c r="F187" s="15">
        <v>644.54</v>
      </c>
      <c r="G187" s="15">
        <v>647.64</v>
      </c>
      <c r="H187" s="15">
        <v>151.68</v>
      </c>
      <c r="I187" s="15"/>
      <c r="J187" s="20">
        <f>SUM(D187:I187)</f>
        <v>14787.350000000002</v>
      </c>
      <c r="K187" s="8"/>
      <c r="L187" s="8"/>
    </row>
    <row r="188" spans="1:12">
      <c r="A188" s="8"/>
      <c r="B188" s="8"/>
      <c r="C188" s="8" t="s">
        <v>13</v>
      </c>
      <c r="D188" s="26"/>
      <c r="E188" s="26"/>
      <c r="F188" s="15"/>
      <c r="G188" s="15"/>
      <c r="H188" s="15"/>
      <c r="I188" s="15"/>
      <c r="J188" s="20">
        <f>SUM(D188:I188)</f>
        <v>0</v>
      </c>
      <c r="K188" s="8"/>
      <c r="L188" s="8"/>
    </row>
    <row r="189" spans="1:12" ht="15.75" thickBot="1">
      <c r="A189" s="8"/>
      <c r="B189" s="8"/>
      <c r="C189" s="8" t="s">
        <v>46</v>
      </c>
      <c r="D189" s="27">
        <v>255.74</v>
      </c>
      <c r="E189" s="27">
        <v>14.61</v>
      </c>
      <c r="F189" s="28">
        <v>13.21</v>
      </c>
      <c r="G189" s="28">
        <v>13.35</v>
      </c>
      <c r="H189" s="28">
        <v>2.98</v>
      </c>
      <c r="I189" s="28"/>
      <c r="J189" s="29">
        <f>SUM(D189:I189)</f>
        <v>299.89000000000004</v>
      </c>
      <c r="K189" s="8"/>
      <c r="L189" s="8"/>
    </row>
    <row r="190" spans="1:12">
      <c r="A190" s="8"/>
      <c r="B190" s="8"/>
      <c r="C190" s="8"/>
      <c r="D190" s="8"/>
      <c r="E190" s="8"/>
      <c r="F190" s="15"/>
      <c r="G190" s="15"/>
      <c r="H190" s="15"/>
      <c r="I190" s="15"/>
      <c r="J190" s="20"/>
      <c r="K190" s="8"/>
      <c r="L190" s="8"/>
    </row>
    <row r="191" spans="1:12" ht="15.75" thickBot="1">
      <c r="A191" s="8"/>
      <c r="B191" s="8"/>
      <c r="C191" s="8" t="s">
        <v>10</v>
      </c>
      <c r="D191" s="30">
        <f t="shared" ref="D191:I191" si="30">SUM(D187:D189)</f>
        <v>12879.77</v>
      </c>
      <c r="E191" s="30">
        <f t="shared" si="30"/>
        <v>734.07</v>
      </c>
      <c r="F191" s="30">
        <f t="shared" si="30"/>
        <v>657.75</v>
      </c>
      <c r="G191" s="30">
        <f t="shared" si="30"/>
        <v>660.99</v>
      </c>
      <c r="H191" s="30">
        <f t="shared" si="30"/>
        <v>154.66</v>
      </c>
      <c r="I191" s="30">
        <f t="shared" si="30"/>
        <v>0</v>
      </c>
      <c r="J191" s="31">
        <f>SUM(D191:I191)</f>
        <v>15087.24</v>
      </c>
      <c r="K191" s="8"/>
      <c r="L191" s="8"/>
    </row>
    <row r="192" spans="1:12" ht="15.75" thickTop="1">
      <c r="A192" s="8"/>
      <c r="B192" s="8"/>
      <c r="C192" s="8"/>
      <c r="D192" s="8"/>
      <c r="E192" s="8"/>
      <c r="F192" s="15"/>
      <c r="G192" s="15"/>
      <c r="H192" s="15"/>
      <c r="I192" s="15"/>
      <c r="J192" s="20"/>
      <c r="K192" s="8"/>
      <c r="L192" s="8"/>
    </row>
    <row r="193" spans="1:12">
      <c r="A193" s="8"/>
      <c r="B193" s="8"/>
      <c r="C193" s="8"/>
      <c r="D193" s="8"/>
      <c r="E193" s="8"/>
      <c r="F193" s="15"/>
      <c r="G193" s="15"/>
      <c r="H193" s="15"/>
      <c r="I193" s="15"/>
      <c r="J193" s="20"/>
      <c r="K193" s="8"/>
      <c r="L193" s="8"/>
    </row>
    <row r="194" spans="1:12">
      <c r="A194" s="8">
        <v>52</v>
      </c>
      <c r="B194" s="8" t="s">
        <v>47</v>
      </c>
      <c r="C194" s="8" t="s">
        <v>12</v>
      </c>
      <c r="D194" s="26">
        <v>8911.2199999999993</v>
      </c>
      <c r="E194" s="26"/>
      <c r="F194" s="15"/>
      <c r="G194" s="15"/>
      <c r="H194" s="15"/>
      <c r="I194" s="15"/>
      <c r="J194" s="20">
        <f>SUM(D194:I194)</f>
        <v>8911.2199999999993</v>
      </c>
      <c r="K194" s="8"/>
      <c r="L194" s="8"/>
    </row>
    <row r="195" spans="1:12" ht="15.75" thickBot="1">
      <c r="A195" s="8"/>
      <c r="B195" s="8"/>
      <c r="C195" s="8" t="s">
        <v>13</v>
      </c>
      <c r="D195" s="33"/>
      <c r="E195" s="33"/>
      <c r="F195" s="28"/>
      <c r="G195" s="28"/>
      <c r="H195" s="28"/>
      <c r="I195" s="28"/>
      <c r="J195" s="34">
        <v>0</v>
      </c>
      <c r="K195" s="8"/>
      <c r="L195" s="8"/>
    </row>
    <row r="196" spans="1:12">
      <c r="A196" s="8"/>
      <c r="B196" s="8"/>
      <c r="C196" s="8"/>
      <c r="D196" s="8"/>
      <c r="E196" s="8"/>
      <c r="F196" s="15"/>
      <c r="G196" s="15"/>
      <c r="H196" s="15"/>
      <c r="I196" s="15"/>
      <c r="J196" s="20"/>
      <c r="K196" s="8"/>
      <c r="L196" s="8"/>
    </row>
    <row r="197" spans="1:12" ht="15.75" thickBot="1">
      <c r="A197" s="8"/>
      <c r="B197" s="8"/>
      <c r="C197" s="8" t="s">
        <v>10</v>
      </c>
      <c r="D197" s="30">
        <f t="shared" ref="D197:I197" si="31">SUM(D194:D195)</f>
        <v>8911.2199999999993</v>
      </c>
      <c r="E197" s="30">
        <f t="shared" si="31"/>
        <v>0</v>
      </c>
      <c r="F197" s="30">
        <f t="shared" si="31"/>
        <v>0</v>
      </c>
      <c r="G197" s="30">
        <f t="shared" si="31"/>
        <v>0</v>
      </c>
      <c r="H197" s="30">
        <f t="shared" si="31"/>
        <v>0</v>
      </c>
      <c r="I197" s="30">
        <f t="shared" si="31"/>
        <v>0</v>
      </c>
      <c r="J197" s="31">
        <f>SUM(D197:I197)</f>
        <v>8911.2199999999993</v>
      </c>
      <c r="K197" s="8"/>
      <c r="L197" s="8"/>
    </row>
    <row r="198" spans="1:12" ht="15.75" thickTop="1">
      <c r="A198" s="8"/>
      <c r="B198" s="8"/>
      <c r="C198" s="8"/>
      <c r="D198" s="8"/>
      <c r="E198" s="8"/>
      <c r="F198" s="15"/>
      <c r="G198" s="15"/>
      <c r="H198" s="15"/>
      <c r="I198" s="15"/>
      <c r="J198" s="20"/>
      <c r="K198" s="8"/>
      <c r="L198" s="8"/>
    </row>
    <row r="199" spans="1:12">
      <c r="A199" s="8"/>
      <c r="B199" s="8"/>
      <c r="C199" s="8"/>
      <c r="D199" s="8"/>
      <c r="E199" s="8"/>
      <c r="F199" s="15"/>
      <c r="G199" s="15"/>
      <c r="H199" s="15"/>
      <c r="I199" s="15"/>
      <c r="J199" s="20"/>
      <c r="K199" s="8"/>
      <c r="L199" s="8"/>
    </row>
    <row r="200" spans="1:12">
      <c r="A200" s="8">
        <v>53</v>
      </c>
      <c r="B200" s="8" t="s">
        <v>48</v>
      </c>
      <c r="C200" s="8" t="s">
        <v>12</v>
      </c>
      <c r="D200" s="8">
        <v>12273.49</v>
      </c>
      <c r="E200" s="8">
        <v>143.34</v>
      </c>
      <c r="F200" s="15">
        <v>65.760000000000005</v>
      </c>
      <c r="G200" s="15">
        <v>33.93</v>
      </c>
      <c r="H200" s="15">
        <v>21.27</v>
      </c>
      <c r="I200" s="15">
        <v>12.41</v>
      </c>
      <c r="J200" s="20">
        <f>SUM(D200:I200)</f>
        <v>12550.2</v>
      </c>
      <c r="K200" s="8"/>
      <c r="L200" s="8"/>
    </row>
    <row r="201" spans="1:12">
      <c r="A201" s="8"/>
      <c r="B201" s="8"/>
      <c r="C201" s="8" t="s">
        <v>35</v>
      </c>
      <c r="D201" s="8">
        <v>668.11</v>
      </c>
      <c r="E201" s="8">
        <v>7.8</v>
      </c>
      <c r="F201" s="15">
        <v>3.07</v>
      </c>
      <c r="G201" s="15">
        <v>1.67</v>
      </c>
      <c r="H201" s="15">
        <v>0.93</v>
      </c>
      <c r="I201" s="15">
        <v>0.22</v>
      </c>
      <c r="J201" s="20">
        <f>SUM(D201:I201)</f>
        <v>681.8</v>
      </c>
      <c r="K201" s="8"/>
      <c r="L201" s="8"/>
    </row>
    <row r="202" spans="1:12">
      <c r="A202" s="8"/>
      <c r="B202" s="8"/>
      <c r="C202" s="8" t="s">
        <v>97</v>
      </c>
      <c r="D202" s="8">
        <v>324.23</v>
      </c>
      <c r="E202" s="8">
        <v>3.43</v>
      </c>
      <c r="F202" s="15"/>
      <c r="G202" s="15"/>
      <c r="H202" s="15"/>
      <c r="I202" s="15"/>
      <c r="J202" s="20">
        <f>SUM(D202:I202)</f>
        <v>327.66000000000003</v>
      </c>
      <c r="K202" s="8"/>
      <c r="L202" s="8"/>
    </row>
    <row r="203" spans="1:12" ht="15.75" thickBot="1">
      <c r="A203" s="8"/>
      <c r="B203" s="8"/>
      <c r="C203" s="8" t="s">
        <v>98</v>
      </c>
      <c r="D203" s="27">
        <v>1996.89</v>
      </c>
      <c r="E203" s="27">
        <v>22.95</v>
      </c>
      <c r="F203" s="28"/>
      <c r="G203" s="28"/>
      <c r="H203" s="28"/>
      <c r="I203" s="28"/>
      <c r="J203" s="29">
        <f>SUM(D203:I203)</f>
        <v>2019.8400000000001</v>
      </c>
      <c r="K203" s="8"/>
      <c r="L203" s="8"/>
    </row>
    <row r="204" spans="1:12">
      <c r="A204" s="8"/>
      <c r="B204" s="8"/>
      <c r="C204" s="8"/>
      <c r="D204" s="8"/>
      <c r="E204" s="8"/>
      <c r="F204" s="15"/>
      <c r="G204" s="15"/>
      <c r="H204" s="15"/>
      <c r="I204" s="15"/>
      <c r="J204" s="20"/>
      <c r="K204" s="8"/>
      <c r="L204" s="8"/>
    </row>
    <row r="205" spans="1:12" ht="15.75" thickBot="1">
      <c r="A205" s="8"/>
      <c r="B205" s="8"/>
      <c r="C205" s="8" t="s">
        <v>10</v>
      </c>
      <c r="D205" s="30">
        <f t="shared" ref="D205:J205" si="32">SUM(D200:D204)</f>
        <v>15262.72</v>
      </c>
      <c r="E205" s="30">
        <f t="shared" si="32"/>
        <v>177.52</v>
      </c>
      <c r="F205" s="30">
        <f t="shared" si="32"/>
        <v>68.83</v>
      </c>
      <c r="G205" s="30">
        <f t="shared" si="32"/>
        <v>35.6</v>
      </c>
      <c r="H205" s="30">
        <f t="shared" si="32"/>
        <v>22.2</v>
      </c>
      <c r="I205" s="30">
        <f t="shared" si="32"/>
        <v>12.63</v>
      </c>
      <c r="J205" s="30">
        <f t="shared" si="32"/>
        <v>15579.5</v>
      </c>
      <c r="K205" s="8"/>
      <c r="L205" s="8"/>
    </row>
    <row r="206" spans="1:12" ht="15.75" thickTop="1">
      <c r="A206" s="8"/>
      <c r="B206" s="8"/>
      <c r="C206" s="8"/>
      <c r="D206" s="8"/>
      <c r="E206" s="8"/>
      <c r="F206" s="15"/>
      <c r="G206" s="15"/>
      <c r="H206" s="15"/>
      <c r="I206" s="15"/>
      <c r="J206" s="20"/>
      <c r="K206" s="8"/>
      <c r="L206" s="8"/>
    </row>
    <row r="207" spans="1:12">
      <c r="A207" s="8"/>
      <c r="B207" s="8"/>
      <c r="C207" s="8"/>
      <c r="D207" s="8"/>
      <c r="E207" s="8"/>
      <c r="F207" s="15"/>
      <c r="G207" s="15"/>
      <c r="H207" s="15"/>
      <c r="I207" s="15"/>
      <c r="J207" s="20"/>
      <c r="K207" s="8"/>
      <c r="L207" s="8"/>
    </row>
    <row r="208" spans="1:12" ht="15.75" thickBot="1">
      <c r="A208" s="8">
        <v>54</v>
      </c>
      <c r="B208" s="8" t="s">
        <v>49</v>
      </c>
      <c r="C208" s="8" t="s">
        <v>12</v>
      </c>
      <c r="D208" s="27">
        <v>7382.71</v>
      </c>
      <c r="E208" s="27">
        <v>67.739999999999995</v>
      </c>
      <c r="F208" s="28">
        <v>44.95</v>
      </c>
      <c r="G208" s="28">
        <v>34.54</v>
      </c>
      <c r="H208" s="28"/>
      <c r="I208" s="28"/>
      <c r="J208" s="29">
        <f>SUM(D208:I208)</f>
        <v>7529.94</v>
      </c>
      <c r="K208" s="8"/>
      <c r="L208" s="8"/>
    </row>
    <row r="209" spans="1:12">
      <c r="A209" s="8"/>
      <c r="B209" s="8"/>
      <c r="C209" s="8"/>
      <c r="D209" s="8"/>
      <c r="E209" s="8"/>
      <c r="F209" s="24"/>
      <c r="G209" s="24"/>
      <c r="H209" s="24"/>
      <c r="I209" s="24"/>
      <c r="J209" s="25"/>
      <c r="K209" s="8"/>
      <c r="L209" s="8"/>
    </row>
    <row r="210" spans="1:12" ht="15.75" thickBot="1">
      <c r="A210" s="8"/>
      <c r="B210" s="8"/>
      <c r="C210" s="8" t="s">
        <v>10</v>
      </c>
      <c r="D210" s="30">
        <f t="shared" ref="D210:I210" si="33">SUM(D208:D209)</f>
        <v>7382.71</v>
      </c>
      <c r="E210" s="30">
        <f t="shared" si="33"/>
        <v>67.739999999999995</v>
      </c>
      <c r="F210" s="30">
        <f t="shared" si="33"/>
        <v>44.95</v>
      </c>
      <c r="G210" s="30">
        <f t="shared" si="33"/>
        <v>34.54</v>
      </c>
      <c r="H210" s="30">
        <f t="shared" si="33"/>
        <v>0</v>
      </c>
      <c r="I210" s="30">
        <f t="shared" si="33"/>
        <v>0</v>
      </c>
      <c r="J210" s="31">
        <f>SUM(D210:I210)</f>
        <v>7529.94</v>
      </c>
      <c r="K210" s="8"/>
      <c r="L210" s="8"/>
    </row>
    <row r="211" spans="1:12" ht="15.75" thickTop="1">
      <c r="A211" s="8"/>
      <c r="B211" s="8"/>
      <c r="C211" s="8"/>
      <c r="D211" s="8"/>
      <c r="E211" s="8"/>
      <c r="F211" s="15"/>
      <c r="G211" s="15"/>
      <c r="H211" s="15"/>
      <c r="I211" s="15"/>
      <c r="J211" s="20"/>
      <c r="K211" s="8"/>
      <c r="L211" s="8"/>
    </row>
    <row r="212" spans="1:12">
      <c r="A212" s="8"/>
      <c r="B212" s="8"/>
      <c r="C212" s="8"/>
      <c r="D212" s="8"/>
      <c r="E212" s="8"/>
      <c r="F212" s="15"/>
      <c r="G212" s="15"/>
      <c r="H212" s="15"/>
      <c r="I212" s="15"/>
      <c r="J212" s="20"/>
      <c r="K212" s="8"/>
      <c r="L212" s="8"/>
    </row>
    <row r="213" spans="1:12">
      <c r="A213" s="8">
        <v>55</v>
      </c>
      <c r="B213" s="8" t="s">
        <v>50</v>
      </c>
      <c r="C213" s="8" t="s">
        <v>12</v>
      </c>
      <c r="D213" s="8">
        <v>13236.63</v>
      </c>
      <c r="E213" s="8">
        <v>515.36</v>
      </c>
      <c r="F213" s="15">
        <v>219.19</v>
      </c>
      <c r="G213" s="15">
        <v>204.5</v>
      </c>
      <c r="H213" s="15">
        <v>146.87</v>
      </c>
      <c r="I213" s="15"/>
      <c r="J213" s="20">
        <f>SUM(D213:I213)</f>
        <v>14322.550000000001</v>
      </c>
      <c r="K213" s="8"/>
      <c r="L213" s="8"/>
    </row>
    <row r="214" spans="1:12" ht="15.75" thickBot="1">
      <c r="A214" s="8"/>
      <c r="B214" s="8"/>
      <c r="C214" s="8" t="s">
        <v>13</v>
      </c>
      <c r="D214" s="27">
        <v>403.12</v>
      </c>
      <c r="E214" s="27">
        <v>17.39</v>
      </c>
      <c r="F214" s="28">
        <v>7.31</v>
      </c>
      <c r="G214" s="28">
        <v>7.48</v>
      </c>
      <c r="H214" s="28">
        <v>5.62</v>
      </c>
      <c r="I214" s="28"/>
      <c r="J214" s="29">
        <f>SUM(D214:I214)</f>
        <v>440.92</v>
      </c>
      <c r="K214" s="8"/>
      <c r="L214" s="8"/>
    </row>
    <row r="215" spans="1:12">
      <c r="A215" s="8"/>
      <c r="B215" s="8"/>
      <c r="C215" s="8"/>
      <c r="D215" s="8"/>
      <c r="E215" s="8"/>
      <c r="F215" s="15"/>
      <c r="G215" s="15"/>
      <c r="H215" s="15"/>
      <c r="I215" s="15"/>
      <c r="J215" s="20"/>
      <c r="K215" s="8"/>
      <c r="L215" s="8"/>
    </row>
    <row r="216" spans="1:12" ht="15.75" thickBot="1">
      <c r="A216" s="8"/>
      <c r="B216" s="8"/>
      <c r="C216" s="8" t="s">
        <v>10</v>
      </c>
      <c r="D216" s="30">
        <f t="shared" ref="D216:I216" si="34">SUM(D213:D214)</f>
        <v>13639.75</v>
      </c>
      <c r="E216" s="30">
        <f t="shared" si="34"/>
        <v>532.75</v>
      </c>
      <c r="F216" s="30">
        <f t="shared" si="34"/>
        <v>226.5</v>
      </c>
      <c r="G216" s="30">
        <f t="shared" si="34"/>
        <v>211.98</v>
      </c>
      <c r="H216" s="30">
        <f t="shared" si="34"/>
        <v>152.49</v>
      </c>
      <c r="I216" s="30">
        <f t="shared" si="34"/>
        <v>0</v>
      </c>
      <c r="J216" s="31">
        <f>SUM(D216:I216)</f>
        <v>14763.47</v>
      </c>
      <c r="K216" s="8"/>
      <c r="L216" s="8"/>
    </row>
    <row r="217" spans="1:12" ht="15.75" thickTop="1">
      <c r="A217" s="8"/>
      <c r="B217" s="8"/>
      <c r="C217" s="8"/>
      <c r="D217" s="8"/>
      <c r="E217" s="8"/>
      <c r="F217" s="15"/>
      <c r="G217" s="15"/>
      <c r="H217" s="15"/>
      <c r="I217" s="15"/>
      <c r="J217" s="20"/>
      <c r="K217" s="8"/>
      <c r="L217" s="8"/>
    </row>
    <row r="218" spans="1:12">
      <c r="A218" s="8"/>
      <c r="B218" s="8"/>
      <c r="C218" s="8"/>
      <c r="D218" s="8"/>
      <c r="E218" s="8"/>
      <c r="F218" s="15"/>
      <c r="G218" s="15"/>
      <c r="H218" s="15"/>
      <c r="I218" s="15"/>
      <c r="J218" s="20"/>
      <c r="K218" s="8"/>
      <c r="L218" s="8"/>
    </row>
    <row r="219" spans="1:12">
      <c r="A219" s="8">
        <v>56</v>
      </c>
      <c r="B219" s="8" t="s">
        <v>51</v>
      </c>
      <c r="C219" s="8" t="s">
        <v>12</v>
      </c>
      <c r="D219" s="8">
        <v>6904.69</v>
      </c>
      <c r="E219" s="8">
        <v>68.099999999999994</v>
      </c>
      <c r="F219" s="15">
        <v>64.290000000000006</v>
      </c>
      <c r="G219" s="15"/>
      <c r="H219" s="15"/>
      <c r="I219" s="15"/>
      <c r="J219" s="20">
        <f>SUM(D219:I219)</f>
        <v>7037.08</v>
      </c>
      <c r="K219" s="8"/>
      <c r="L219" s="8"/>
    </row>
    <row r="220" spans="1:12" ht="15.75" thickBot="1">
      <c r="A220" s="8"/>
      <c r="B220" s="8"/>
      <c r="C220" s="8" t="s">
        <v>13</v>
      </c>
      <c r="D220" s="27">
        <v>136.58000000000001</v>
      </c>
      <c r="E220" s="27">
        <v>1.48</v>
      </c>
      <c r="F220" s="28">
        <v>1.29</v>
      </c>
      <c r="G220" s="28"/>
      <c r="H220" s="28"/>
      <c r="I220" s="28"/>
      <c r="J220" s="29">
        <f>SUM(D220:I220)</f>
        <v>139.35</v>
      </c>
      <c r="K220" s="8"/>
      <c r="L220" s="8"/>
    </row>
    <row r="221" spans="1:12">
      <c r="A221" s="8"/>
      <c r="B221" s="8"/>
      <c r="C221" s="8"/>
      <c r="D221" s="8"/>
      <c r="E221" s="8"/>
      <c r="F221" s="15"/>
      <c r="G221" s="15"/>
      <c r="H221" s="15"/>
      <c r="I221" s="15"/>
      <c r="J221" s="20"/>
      <c r="K221" s="8"/>
      <c r="L221" s="8"/>
    </row>
    <row r="222" spans="1:12" ht="15.75" thickBot="1">
      <c r="A222" s="8"/>
      <c r="B222" s="8"/>
      <c r="C222" s="8" t="s">
        <v>10</v>
      </c>
      <c r="D222" s="30">
        <f t="shared" ref="D222:I222" si="35">SUM(D219:D220)</f>
        <v>7041.2699999999995</v>
      </c>
      <c r="E222" s="30">
        <f t="shared" si="35"/>
        <v>69.58</v>
      </c>
      <c r="F222" s="30">
        <f t="shared" si="35"/>
        <v>65.580000000000013</v>
      </c>
      <c r="G222" s="30">
        <f t="shared" si="35"/>
        <v>0</v>
      </c>
      <c r="H222" s="30">
        <f t="shared" si="35"/>
        <v>0</v>
      </c>
      <c r="I222" s="30">
        <f t="shared" si="35"/>
        <v>0</v>
      </c>
      <c r="J222" s="31">
        <f>SUM(D222:I222)</f>
        <v>7176.4299999999994</v>
      </c>
      <c r="K222" s="8"/>
      <c r="L222" s="8"/>
    </row>
    <row r="223" spans="1:12" ht="15.75" thickTop="1">
      <c r="A223" s="8"/>
      <c r="B223" s="8"/>
      <c r="C223" s="8"/>
      <c r="D223" s="8"/>
      <c r="E223" s="8"/>
      <c r="F223" s="15"/>
      <c r="G223" s="15"/>
      <c r="H223" s="15"/>
      <c r="I223" s="15"/>
      <c r="J223" s="20"/>
      <c r="K223" s="8"/>
      <c r="L223" s="8"/>
    </row>
    <row r="224" spans="1:12">
      <c r="A224" s="8"/>
      <c r="B224" s="8"/>
      <c r="C224" s="8"/>
      <c r="D224" s="8"/>
      <c r="E224" s="8"/>
      <c r="F224" s="15"/>
      <c r="G224" s="15"/>
      <c r="H224" s="15"/>
      <c r="I224" s="15"/>
      <c r="J224" s="20"/>
      <c r="K224" s="8"/>
      <c r="L224" s="8"/>
    </row>
    <row r="225" spans="1:12">
      <c r="A225" s="8">
        <v>57</v>
      </c>
      <c r="B225" s="8" t="s">
        <v>52</v>
      </c>
      <c r="C225" s="8" t="s">
        <v>12</v>
      </c>
      <c r="D225" s="8">
        <v>21342.51</v>
      </c>
      <c r="E225" s="8">
        <v>1098.49</v>
      </c>
      <c r="F225" s="15">
        <v>826.12</v>
      </c>
      <c r="G225" s="15">
        <v>183.74</v>
      </c>
      <c r="H225" s="15">
        <v>16.73</v>
      </c>
      <c r="I225" s="15"/>
      <c r="J225" s="20">
        <f>SUM(D225:I225)</f>
        <v>23467.59</v>
      </c>
      <c r="K225" s="8"/>
      <c r="L225" s="8"/>
    </row>
    <row r="226" spans="1:12" ht="15.75" thickBot="1">
      <c r="A226" s="8"/>
      <c r="B226" s="8"/>
      <c r="C226" s="8" t="s">
        <v>13</v>
      </c>
      <c r="D226" s="27">
        <v>511.55</v>
      </c>
      <c r="E226" s="27">
        <v>26.02</v>
      </c>
      <c r="F226" s="28">
        <v>18.36</v>
      </c>
      <c r="G226" s="28">
        <v>5.98</v>
      </c>
      <c r="H226" s="28">
        <v>0.47</v>
      </c>
      <c r="I226" s="28"/>
      <c r="J226" s="29">
        <f>SUM(D226:I226)</f>
        <v>562.38000000000011</v>
      </c>
      <c r="K226" s="8"/>
      <c r="L226" s="8"/>
    </row>
    <row r="227" spans="1:12">
      <c r="A227" s="8"/>
      <c r="B227" s="8"/>
      <c r="C227" s="8"/>
      <c r="D227" s="8"/>
      <c r="E227" s="8"/>
      <c r="F227" s="15"/>
      <c r="G227" s="15"/>
      <c r="H227" s="15"/>
      <c r="I227" s="15"/>
      <c r="J227" s="20"/>
      <c r="K227" s="8"/>
      <c r="L227" s="8"/>
    </row>
    <row r="228" spans="1:12" ht="15.75" thickBot="1">
      <c r="A228" s="8"/>
      <c r="B228" s="8"/>
      <c r="C228" s="8" t="s">
        <v>10</v>
      </c>
      <c r="D228" s="30">
        <f t="shared" ref="D228:I228" si="36">SUM(D225:D226)</f>
        <v>21854.059999999998</v>
      </c>
      <c r="E228" s="30">
        <f t="shared" si="36"/>
        <v>1124.51</v>
      </c>
      <c r="F228" s="30">
        <f t="shared" si="36"/>
        <v>844.48</v>
      </c>
      <c r="G228" s="30">
        <f t="shared" si="36"/>
        <v>189.72</v>
      </c>
      <c r="H228" s="30">
        <f t="shared" si="36"/>
        <v>17.2</v>
      </c>
      <c r="I228" s="30">
        <f t="shared" si="36"/>
        <v>0</v>
      </c>
      <c r="J228" s="31">
        <f>SUM(D228:I228)</f>
        <v>24029.969999999998</v>
      </c>
      <c r="K228" s="8"/>
      <c r="L228" s="8"/>
    </row>
    <row r="229" spans="1:12" ht="15.75" thickTop="1">
      <c r="A229" s="8"/>
      <c r="B229" s="8"/>
      <c r="C229" s="8"/>
      <c r="D229" s="8"/>
      <c r="E229" s="8"/>
      <c r="F229" s="15"/>
      <c r="G229" s="15"/>
      <c r="H229" s="15"/>
      <c r="I229" s="15"/>
      <c r="J229" s="20"/>
      <c r="K229" s="8"/>
      <c r="L229" s="8"/>
    </row>
    <row r="230" spans="1:12">
      <c r="A230" s="8"/>
      <c r="B230" s="8"/>
      <c r="C230" s="8"/>
      <c r="D230" s="8"/>
      <c r="E230" s="8"/>
      <c r="F230" s="15"/>
      <c r="G230" s="15"/>
      <c r="H230" s="15"/>
      <c r="I230" s="15"/>
      <c r="J230" s="20"/>
      <c r="K230" s="8"/>
      <c r="L230" s="8"/>
    </row>
    <row r="231" spans="1:12">
      <c r="A231" s="8">
        <v>58</v>
      </c>
      <c r="B231" s="8" t="s">
        <v>53</v>
      </c>
      <c r="C231" s="8" t="s">
        <v>12</v>
      </c>
      <c r="D231" s="8">
        <v>10541.68</v>
      </c>
      <c r="E231" s="8">
        <v>70.760000000000005</v>
      </c>
      <c r="F231" s="15">
        <v>69.489999999999995</v>
      </c>
      <c r="G231" s="15"/>
      <c r="H231" s="15"/>
      <c r="I231" s="15"/>
      <c r="J231" s="20">
        <f>SUM(D231:I231)</f>
        <v>10681.93</v>
      </c>
      <c r="K231" s="8"/>
      <c r="L231" s="8"/>
    </row>
    <row r="232" spans="1:12" ht="15.75" thickBot="1">
      <c r="A232" s="8"/>
      <c r="B232" s="8"/>
      <c r="C232" s="8" t="s">
        <v>13</v>
      </c>
      <c r="D232" s="33"/>
      <c r="E232" s="33"/>
      <c r="F232" s="28"/>
      <c r="G232" s="28"/>
      <c r="H232" s="28"/>
      <c r="I232" s="28"/>
      <c r="J232" s="34">
        <v>0</v>
      </c>
      <c r="K232" s="8"/>
      <c r="L232" s="8"/>
    </row>
    <row r="233" spans="1:12">
      <c r="A233" s="8"/>
      <c r="B233" s="8"/>
      <c r="C233" s="8"/>
      <c r="D233" s="8"/>
      <c r="E233" s="8"/>
      <c r="F233" s="15"/>
      <c r="G233" s="15"/>
      <c r="H233" s="15"/>
      <c r="I233" s="15"/>
      <c r="J233" s="20"/>
      <c r="K233" s="8"/>
      <c r="L233" s="8"/>
    </row>
    <row r="234" spans="1:12" ht="15.75" thickBot="1">
      <c r="A234" s="8"/>
      <c r="B234" s="8"/>
      <c r="C234" s="8" t="s">
        <v>10</v>
      </c>
      <c r="D234" s="30">
        <f t="shared" ref="D234:I234" si="37">SUM(D231:D232)</f>
        <v>10541.68</v>
      </c>
      <c r="E234" s="30">
        <f t="shared" si="37"/>
        <v>70.760000000000005</v>
      </c>
      <c r="F234" s="30">
        <f t="shared" si="37"/>
        <v>69.489999999999995</v>
      </c>
      <c r="G234" s="30">
        <f t="shared" si="37"/>
        <v>0</v>
      </c>
      <c r="H234" s="30">
        <f t="shared" si="37"/>
        <v>0</v>
      </c>
      <c r="I234" s="30">
        <f t="shared" si="37"/>
        <v>0</v>
      </c>
      <c r="J234" s="31">
        <f>SUM(D234:I234)</f>
        <v>10681.93</v>
      </c>
      <c r="K234" s="8"/>
      <c r="L234" s="8"/>
    </row>
    <row r="235" spans="1:12" ht="15.75" thickTop="1">
      <c r="A235" s="8"/>
      <c r="B235" s="8"/>
      <c r="C235" s="8"/>
      <c r="D235" s="8"/>
      <c r="E235" s="8"/>
      <c r="F235" s="15"/>
      <c r="G235" s="15"/>
      <c r="H235" s="15"/>
      <c r="I235" s="15"/>
      <c r="J235" s="20"/>
      <c r="K235" s="8"/>
      <c r="L235" s="8"/>
    </row>
    <row r="236" spans="1:12">
      <c r="A236" s="8"/>
      <c r="B236" s="8"/>
      <c r="C236" s="8"/>
      <c r="D236" s="8"/>
      <c r="E236" s="8"/>
      <c r="F236" s="15"/>
      <c r="G236" s="15"/>
      <c r="H236" s="15"/>
      <c r="I236" s="15"/>
      <c r="J236" s="20"/>
      <c r="K236" s="8"/>
      <c r="L236" s="8"/>
    </row>
    <row r="237" spans="1:12">
      <c r="A237" s="8">
        <v>59</v>
      </c>
      <c r="B237" s="8" t="s">
        <v>54</v>
      </c>
      <c r="C237" s="8" t="s">
        <v>12</v>
      </c>
      <c r="D237" s="8">
        <v>12031.36</v>
      </c>
      <c r="E237" s="8">
        <v>282.79000000000002</v>
      </c>
      <c r="F237" s="15">
        <v>218.85</v>
      </c>
      <c r="G237" s="15">
        <v>40.85</v>
      </c>
      <c r="H237" s="15"/>
      <c r="I237" s="15"/>
      <c r="J237" s="20">
        <f>SUM(D237:I237)</f>
        <v>12573.850000000002</v>
      </c>
      <c r="K237" s="8"/>
      <c r="L237" s="8"/>
    </row>
    <row r="238" spans="1:12" ht="15.75" thickBot="1">
      <c r="A238" s="8"/>
      <c r="B238" s="8"/>
      <c r="C238" s="8" t="s">
        <v>35</v>
      </c>
      <c r="D238" s="27">
        <v>668.15</v>
      </c>
      <c r="E238" s="27">
        <v>15.7</v>
      </c>
      <c r="F238" s="28">
        <v>11.64</v>
      </c>
      <c r="G238" s="28">
        <v>2.36</v>
      </c>
      <c r="H238" s="28"/>
      <c r="I238" s="28"/>
      <c r="J238" s="29">
        <f>SUM(D238:I238)</f>
        <v>697.85</v>
      </c>
      <c r="K238" s="8"/>
      <c r="L238" s="8"/>
    </row>
    <row r="239" spans="1:12">
      <c r="A239" s="8"/>
      <c r="B239" s="8"/>
      <c r="C239" s="8"/>
      <c r="D239" s="8"/>
      <c r="E239" s="8"/>
      <c r="F239" s="15"/>
      <c r="G239" s="15"/>
      <c r="H239" s="15"/>
      <c r="I239" s="15"/>
      <c r="J239" s="20"/>
      <c r="K239" s="8"/>
      <c r="L239" s="8"/>
    </row>
    <row r="240" spans="1:12" ht="15.75" thickBot="1">
      <c r="A240" s="8"/>
      <c r="B240" s="8"/>
      <c r="C240" s="8" t="s">
        <v>10</v>
      </c>
      <c r="D240" s="30">
        <f t="shared" ref="D240:I240" si="38">SUM(D237:D238)</f>
        <v>12699.51</v>
      </c>
      <c r="E240" s="30">
        <f t="shared" si="38"/>
        <v>298.49</v>
      </c>
      <c r="F240" s="30">
        <f t="shared" si="38"/>
        <v>230.49</v>
      </c>
      <c r="G240" s="30">
        <f t="shared" si="38"/>
        <v>43.21</v>
      </c>
      <c r="H240" s="30">
        <f t="shared" si="38"/>
        <v>0</v>
      </c>
      <c r="I240" s="30">
        <f t="shared" si="38"/>
        <v>0</v>
      </c>
      <c r="J240" s="31">
        <f>SUM(D240:I240)</f>
        <v>13271.699999999999</v>
      </c>
      <c r="K240" s="8"/>
      <c r="L240" s="8"/>
    </row>
    <row r="241" spans="1:12" ht="15.75" thickTop="1">
      <c r="A241" s="8"/>
      <c r="B241" s="8"/>
      <c r="C241" s="8"/>
      <c r="D241" s="8"/>
      <c r="E241" s="8"/>
      <c r="F241" s="15"/>
      <c r="G241" s="15"/>
      <c r="H241" s="15"/>
      <c r="I241" s="15"/>
      <c r="J241" s="20"/>
      <c r="K241" s="8"/>
      <c r="L241" s="8"/>
    </row>
    <row r="242" spans="1:12">
      <c r="A242" s="8"/>
      <c r="B242" s="8"/>
      <c r="C242" s="8"/>
      <c r="D242" s="8"/>
      <c r="E242" s="8"/>
      <c r="F242" s="15"/>
      <c r="G242" s="15"/>
      <c r="H242" s="15"/>
      <c r="I242" s="15"/>
      <c r="J242" s="20"/>
      <c r="K242" s="8"/>
      <c r="L242" s="8"/>
    </row>
    <row r="243" spans="1:12" ht="15.75" thickBot="1">
      <c r="A243" s="8">
        <v>60</v>
      </c>
      <c r="B243" s="8" t="s">
        <v>55</v>
      </c>
      <c r="C243" s="8" t="s">
        <v>12</v>
      </c>
      <c r="D243" s="27">
        <v>44836.6</v>
      </c>
      <c r="E243" s="27">
        <v>816.44</v>
      </c>
      <c r="F243" s="28">
        <v>324.95</v>
      </c>
      <c r="G243" s="28">
        <v>166.8</v>
      </c>
      <c r="H243" s="28">
        <v>56.58</v>
      </c>
      <c r="I243" s="28"/>
      <c r="J243" s="29">
        <f>SUM(D243:I243)</f>
        <v>46201.37</v>
      </c>
      <c r="K243" s="8"/>
      <c r="L243" s="8"/>
    </row>
    <row r="244" spans="1:12">
      <c r="A244" s="8"/>
      <c r="B244" s="8"/>
      <c r="C244" s="8"/>
      <c r="D244" s="8"/>
      <c r="E244" s="8"/>
      <c r="F244" s="15"/>
      <c r="G244" s="15"/>
      <c r="H244" s="15"/>
      <c r="I244" s="15"/>
      <c r="J244" s="20"/>
      <c r="K244" s="8"/>
      <c r="L244" s="8"/>
    </row>
    <row r="245" spans="1:12" ht="15.75" thickBot="1">
      <c r="A245" s="8"/>
      <c r="B245" s="8"/>
      <c r="C245" s="8" t="s">
        <v>10</v>
      </c>
      <c r="D245" s="30">
        <f t="shared" ref="D245:I245" si="39">SUM(D243:D244)</f>
        <v>44836.6</v>
      </c>
      <c r="E245" s="30">
        <f t="shared" si="39"/>
        <v>816.44</v>
      </c>
      <c r="F245" s="30">
        <f t="shared" si="39"/>
        <v>324.95</v>
      </c>
      <c r="G245" s="30">
        <f t="shared" si="39"/>
        <v>166.8</v>
      </c>
      <c r="H245" s="30">
        <f t="shared" si="39"/>
        <v>56.58</v>
      </c>
      <c r="I245" s="30">
        <f t="shared" si="39"/>
        <v>0</v>
      </c>
      <c r="J245" s="31">
        <f>SUM(D245:I245)</f>
        <v>46201.37</v>
      </c>
      <c r="K245" s="8"/>
      <c r="L245" s="8"/>
    </row>
    <row r="246" spans="1:12" ht="15.75" thickTop="1">
      <c r="A246" s="8"/>
      <c r="B246" s="8"/>
      <c r="C246" s="8"/>
      <c r="D246" s="8"/>
      <c r="E246" s="8"/>
      <c r="F246" s="15"/>
      <c r="G246" s="15"/>
      <c r="H246" s="15"/>
      <c r="I246" s="15"/>
      <c r="J246" s="20"/>
      <c r="K246" s="8"/>
      <c r="L246" s="8"/>
    </row>
    <row r="247" spans="1:12">
      <c r="A247" s="8"/>
      <c r="B247" s="8"/>
      <c r="C247" s="8"/>
      <c r="D247" s="8"/>
      <c r="E247" s="8"/>
      <c r="F247" s="15"/>
      <c r="G247" s="15"/>
      <c r="H247" s="15"/>
      <c r="I247" s="15"/>
      <c r="J247" s="20"/>
      <c r="K247" s="8"/>
      <c r="L247" s="8"/>
    </row>
    <row r="248" spans="1:12">
      <c r="A248" s="8">
        <v>61</v>
      </c>
      <c r="B248" s="8" t="s">
        <v>56</v>
      </c>
      <c r="C248" s="8" t="s">
        <v>12</v>
      </c>
      <c r="D248" s="8">
        <v>8400.52</v>
      </c>
      <c r="E248" s="8">
        <v>81.05</v>
      </c>
      <c r="F248" s="15">
        <v>70</v>
      </c>
      <c r="G248" s="15">
        <v>70.25</v>
      </c>
      <c r="H248" s="15">
        <v>77.39</v>
      </c>
      <c r="I248" s="15"/>
      <c r="J248" s="20">
        <f>SUM(D248:I248)</f>
        <v>8699.2099999999991</v>
      </c>
      <c r="K248" s="8"/>
      <c r="L248" s="8"/>
    </row>
    <row r="249" spans="1:12">
      <c r="A249" s="8"/>
      <c r="B249" s="8"/>
      <c r="C249" s="8" t="s">
        <v>13</v>
      </c>
      <c r="D249" s="8">
        <v>165.14</v>
      </c>
      <c r="E249" s="8">
        <v>1.61</v>
      </c>
      <c r="F249" s="15">
        <v>1.1499999999999999</v>
      </c>
      <c r="G249" s="15">
        <v>1</v>
      </c>
      <c r="H249" s="15">
        <v>1.36</v>
      </c>
      <c r="I249" s="15"/>
      <c r="J249" s="20">
        <f>SUM(D249:I249)</f>
        <v>170.26000000000002</v>
      </c>
      <c r="K249" s="8"/>
      <c r="L249" s="8"/>
    </row>
    <row r="250" spans="1:12" ht="15.75" thickBot="1">
      <c r="A250" s="8"/>
      <c r="B250" s="8"/>
      <c r="C250" s="8" t="s">
        <v>99</v>
      </c>
      <c r="D250" s="27">
        <v>714.8</v>
      </c>
      <c r="E250" s="27">
        <v>7.01</v>
      </c>
      <c r="F250" s="28"/>
      <c r="G250" s="28"/>
      <c r="H250" s="28"/>
      <c r="I250" s="28"/>
      <c r="J250" s="29">
        <f>SUM(D250:I250)</f>
        <v>721.81</v>
      </c>
      <c r="K250" s="8"/>
      <c r="L250" s="8"/>
    </row>
    <row r="251" spans="1:12">
      <c r="A251" s="8"/>
      <c r="B251" s="8"/>
      <c r="C251" s="8"/>
      <c r="D251" s="8"/>
      <c r="E251" s="8"/>
      <c r="F251" s="15"/>
      <c r="G251" s="15"/>
      <c r="H251" s="15"/>
      <c r="I251" s="15"/>
      <c r="J251" s="20"/>
      <c r="K251" s="8"/>
      <c r="L251" s="8"/>
    </row>
    <row r="252" spans="1:12" ht="15.75" thickBot="1">
      <c r="A252" s="8"/>
      <c r="B252" s="8"/>
      <c r="C252" s="8" t="s">
        <v>10</v>
      </c>
      <c r="D252" s="30">
        <f t="shared" ref="D252:J252" si="40">SUM(D248:D250)</f>
        <v>9280.4599999999991</v>
      </c>
      <c r="E252" s="30">
        <f t="shared" si="40"/>
        <v>89.67</v>
      </c>
      <c r="F252" s="30">
        <f t="shared" si="40"/>
        <v>71.150000000000006</v>
      </c>
      <c r="G252" s="30">
        <f t="shared" si="40"/>
        <v>71.25</v>
      </c>
      <c r="H252" s="30">
        <f t="shared" si="40"/>
        <v>78.75</v>
      </c>
      <c r="I252" s="30">
        <f t="shared" si="40"/>
        <v>0</v>
      </c>
      <c r="J252" s="30">
        <f t="shared" si="40"/>
        <v>9591.2799999999988</v>
      </c>
      <c r="K252" s="8"/>
      <c r="L252" s="8"/>
    </row>
    <row r="253" spans="1:12" ht="15.75" thickTop="1">
      <c r="A253" s="8"/>
      <c r="B253" s="8"/>
      <c r="C253" s="8"/>
      <c r="D253" s="8"/>
      <c r="E253" s="8"/>
      <c r="F253" s="15"/>
      <c r="G253" s="15"/>
      <c r="H253" s="15"/>
      <c r="I253" s="15"/>
      <c r="J253" s="20"/>
      <c r="K253" s="8"/>
      <c r="L253" s="8"/>
    </row>
    <row r="254" spans="1:12">
      <c r="A254" s="8"/>
      <c r="B254" s="8"/>
      <c r="C254" s="8"/>
      <c r="D254" s="8"/>
      <c r="E254" s="8"/>
      <c r="F254" s="15"/>
      <c r="G254" s="15"/>
      <c r="H254" s="15"/>
      <c r="I254" s="15"/>
      <c r="J254" s="20"/>
      <c r="K254" s="8"/>
      <c r="L254" s="8"/>
    </row>
    <row r="255" spans="1:12">
      <c r="A255" s="8">
        <v>62</v>
      </c>
      <c r="B255" s="8" t="s">
        <v>57</v>
      </c>
      <c r="C255" s="8" t="s">
        <v>12</v>
      </c>
      <c r="D255" s="8">
        <v>4216.7299999999996</v>
      </c>
      <c r="E255" s="8"/>
      <c r="F255" s="15"/>
      <c r="G255" s="15"/>
      <c r="H255" s="15"/>
      <c r="I255" s="15"/>
      <c r="J255" s="20">
        <f>SUM(D255:I255)</f>
        <v>4216.7299999999996</v>
      </c>
      <c r="K255" s="8"/>
      <c r="L255" s="8"/>
    </row>
    <row r="256" spans="1:12" ht="15.75" thickBot="1">
      <c r="A256" s="8"/>
      <c r="B256" s="8"/>
      <c r="C256" s="8" t="s">
        <v>13</v>
      </c>
      <c r="D256" s="27">
        <v>89.41</v>
      </c>
      <c r="E256" s="27"/>
      <c r="F256" s="28"/>
      <c r="G256" s="28"/>
      <c r="H256" s="28"/>
      <c r="I256" s="28"/>
      <c r="J256" s="29">
        <f>SUM(D256:I256)</f>
        <v>89.41</v>
      </c>
      <c r="K256" s="8"/>
      <c r="L256" s="8"/>
    </row>
    <row r="257" spans="1:12">
      <c r="A257" s="8"/>
      <c r="B257" s="8"/>
      <c r="C257" s="8"/>
      <c r="D257" s="8"/>
      <c r="E257" s="8"/>
      <c r="F257" s="15"/>
      <c r="G257" s="15"/>
      <c r="H257" s="15"/>
      <c r="I257" s="15"/>
      <c r="J257" s="20"/>
      <c r="K257" s="8"/>
      <c r="L257" s="8"/>
    </row>
    <row r="258" spans="1:12" ht="15.75" thickBot="1">
      <c r="A258" s="8"/>
      <c r="B258" s="8"/>
      <c r="C258" s="8" t="s">
        <v>10</v>
      </c>
      <c r="D258" s="30">
        <f t="shared" ref="D258:I258" si="41">SUM(D255:D256)</f>
        <v>4306.1399999999994</v>
      </c>
      <c r="E258" s="30">
        <f t="shared" si="41"/>
        <v>0</v>
      </c>
      <c r="F258" s="30">
        <f t="shared" si="41"/>
        <v>0</v>
      </c>
      <c r="G258" s="30">
        <f t="shared" si="41"/>
        <v>0</v>
      </c>
      <c r="H258" s="30">
        <f t="shared" si="41"/>
        <v>0</v>
      </c>
      <c r="I258" s="30">
        <f t="shared" si="41"/>
        <v>0</v>
      </c>
      <c r="J258" s="31">
        <f>SUM(D258:I258)</f>
        <v>4306.1399999999994</v>
      </c>
      <c r="K258" s="8"/>
      <c r="L258" s="8"/>
    </row>
    <row r="259" spans="1:12" ht="15.75" thickTop="1">
      <c r="A259" s="8"/>
      <c r="B259" s="8"/>
      <c r="C259" s="8"/>
      <c r="D259" s="8"/>
      <c r="E259" s="8"/>
      <c r="F259" s="15"/>
      <c r="G259" s="15"/>
      <c r="H259" s="15"/>
      <c r="I259" s="15"/>
      <c r="J259" s="20"/>
      <c r="K259" s="8"/>
      <c r="L259" s="8"/>
    </row>
    <row r="260" spans="1:12">
      <c r="A260" s="8"/>
      <c r="B260" s="8"/>
      <c r="C260" s="8"/>
      <c r="D260" s="8"/>
      <c r="E260" s="8"/>
      <c r="F260" s="15"/>
      <c r="G260" s="15"/>
      <c r="H260" s="15"/>
      <c r="I260" s="15"/>
      <c r="J260" s="20"/>
      <c r="K260" s="8"/>
      <c r="L260" s="8"/>
    </row>
    <row r="261" spans="1:12">
      <c r="A261" s="8">
        <v>63</v>
      </c>
      <c r="B261" s="8" t="s">
        <v>58</v>
      </c>
      <c r="C261" s="8" t="s">
        <v>12</v>
      </c>
      <c r="D261" s="26">
        <v>6660.32</v>
      </c>
      <c r="E261" s="26">
        <v>55.71</v>
      </c>
      <c r="F261" s="15">
        <v>55.41</v>
      </c>
      <c r="G261" s="15">
        <v>55.39</v>
      </c>
      <c r="H261" s="15">
        <v>51.82</v>
      </c>
      <c r="I261" s="15"/>
      <c r="J261" s="20">
        <f>SUM(D261:I261)</f>
        <v>6878.65</v>
      </c>
      <c r="K261" s="8"/>
      <c r="L261" s="8"/>
    </row>
    <row r="262" spans="1:12" ht="15.75" thickBot="1">
      <c r="A262" s="8"/>
      <c r="B262" s="8"/>
      <c r="C262" s="8" t="s">
        <v>13</v>
      </c>
      <c r="D262" s="27">
        <v>592.54</v>
      </c>
      <c r="E262" s="27">
        <v>4.8899999999999997</v>
      </c>
      <c r="F262" s="28">
        <v>4.62</v>
      </c>
      <c r="G262" s="28">
        <v>4.5999999999999996</v>
      </c>
      <c r="H262" s="28">
        <v>4.3499999999999996</v>
      </c>
      <c r="I262" s="28"/>
      <c r="J262" s="29">
        <f>SUM(D262:I262)</f>
        <v>611</v>
      </c>
      <c r="K262" s="8"/>
      <c r="L262" s="8"/>
    </row>
    <row r="263" spans="1:12">
      <c r="A263" s="8"/>
      <c r="B263" s="8"/>
      <c r="C263" s="8"/>
      <c r="D263" s="8"/>
      <c r="E263" s="8"/>
      <c r="F263" s="15"/>
      <c r="G263" s="15"/>
      <c r="H263" s="15"/>
      <c r="I263" s="15"/>
      <c r="J263" s="20"/>
      <c r="K263" s="8"/>
      <c r="L263" s="8"/>
    </row>
    <row r="264" spans="1:12" ht="15.75" thickBot="1">
      <c r="A264" s="8"/>
      <c r="B264" s="8"/>
      <c r="C264" s="8" t="s">
        <v>10</v>
      </c>
      <c r="D264" s="30">
        <f t="shared" ref="D264:I264" si="42">SUM(D261:D262)</f>
        <v>7252.86</v>
      </c>
      <c r="E264" s="30">
        <f t="shared" si="42"/>
        <v>60.6</v>
      </c>
      <c r="F264" s="30">
        <f t="shared" si="42"/>
        <v>60.029999999999994</v>
      </c>
      <c r="G264" s="30">
        <f t="shared" si="42"/>
        <v>59.99</v>
      </c>
      <c r="H264" s="30">
        <f t="shared" si="42"/>
        <v>56.17</v>
      </c>
      <c r="I264" s="30">
        <f t="shared" si="42"/>
        <v>0</v>
      </c>
      <c r="J264" s="31">
        <f>SUM(D264:I264)</f>
        <v>7489.65</v>
      </c>
      <c r="K264" s="8"/>
      <c r="L264" s="8"/>
    </row>
    <row r="265" spans="1:12" ht="15.75" thickTop="1">
      <c r="A265" s="8"/>
      <c r="B265" s="8"/>
      <c r="C265" s="8"/>
      <c r="D265" s="8"/>
      <c r="E265" s="8"/>
      <c r="F265" s="15"/>
      <c r="G265" s="15"/>
      <c r="H265" s="15"/>
      <c r="I265" s="15"/>
      <c r="J265" s="20"/>
      <c r="K265" s="8"/>
      <c r="L265" s="8"/>
    </row>
    <row r="266" spans="1:12">
      <c r="A266" s="8"/>
      <c r="B266" s="8"/>
      <c r="C266" s="8"/>
      <c r="D266" s="8"/>
      <c r="E266" s="8"/>
      <c r="F266" s="15"/>
      <c r="G266" s="15"/>
      <c r="H266" s="15"/>
      <c r="I266" s="15"/>
      <c r="J266" s="20"/>
      <c r="K266" s="8"/>
      <c r="L266" s="8"/>
    </row>
    <row r="267" spans="1:12" ht="15.75" thickBot="1">
      <c r="A267" s="8">
        <v>64</v>
      </c>
      <c r="B267" s="8" t="s">
        <v>59</v>
      </c>
      <c r="C267" s="8" t="s">
        <v>12</v>
      </c>
      <c r="D267" s="27">
        <v>100210.57</v>
      </c>
      <c r="E267" s="27">
        <v>2255.42</v>
      </c>
      <c r="F267" s="28">
        <v>798.47</v>
      </c>
      <c r="G267" s="28">
        <v>282.05</v>
      </c>
      <c r="H267" s="28">
        <v>63.1</v>
      </c>
      <c r="I267" s="28"/>
      <c r="J267" s="29">
        <f>SUM(D267:I267)</f>
        <v>103609.61000000002</v>
      </c>
      <c r="K267" s="8"/>
      <c r="L267" s="8"/>
    </row>
    <row r="268" spans="1:12">
      <c r="A268" s="8"/>
      <c r="B268" s="8"/>
      <c r="C268" s="8"/>
      <c r="D268" s="8"/>
      <c r="E268" s="8"/>
      <c r="F268" s="24"/>
      <c r="G268" s="24"/>
      <c r="H268" s="24"/>
      <c r="I268" s="24"/>
      <c r="J268" s="25"/>
      <c r="K268" s="8"/>
      <c r="L268" s="8"/>
    </row>
    <row r="269" spans="1:12" ht="15.75" thickBot="1">
      <c r="A269" s="8"/>
      <c r="B269" s="8"/>
      <c r="C269" s="8" t="s">
        <v>10</v>
      </c>
      <c r="D269" s="30">
        <f t="shared" ref="D269:I269" si="43">SUM(D267:D268)</f>
        <v>100210.57</v>
      </c>
      <c r="E269" s="30">
        <f t="shared" si="43"/>
        <v>2255.42</v>
      </c>
      <c r="F269" s="30">
        <f t="shared" si="43"/>
        <v>798.47</v>
      </c>
      <c r="G269" s="30">
        <f t="shared" si="43"/>
        <v>282.05</v>
      </c>
      <c r="H269" s="30">
        <f t="shared" si="43"/>
        <v>63.1</v>
      </c>
      <c r="I269" s="30">
        <f t="shared" si="43"/>
        <v>0</v>
      </c>
      <c r="J269" s="31">
        <f>SUM(D269:I269)</f>
        <v>103609.61000000002</v>
      </c>
      <c r="K269" s="8"/>
      <c r="L269" s="8"/>
    </row>
    <row r="270" spans="1:12" ht="15.75" thickTop="1">
      <c r="A270" s="8"/>
      <c r="B270" s="8"/>
      <c r="C270" s="8"/>
      <c r="D270" s="8"/>
      <c r="E270" s="8"/>
      <c r="F270" s="15"/>
      <c r="G270" s="15"/>
      <c r="H270" s="15"/>
      <c r="I270" s="15"/>
      <c r="J270" s="20"/>
      <c r="K270" s="8"/>
      <c r="L270" s="8"/>
    </row>
    <row r="271" spans="1:12">
      <c r="A271" s="8"/>
      <c r="B271" s="12"/>
      <c r="C271" s="12"/>
      <c r="D271" s="12"/>
      <c r="E271" s="12"/>
      <c r="F271" s="16"/>
      <c r="G271" s="13"/>
      <c r="H271" s="13"/>
      <c r="I271" s="13"/>
      <c r="J271" s="20"/>
      <c r="K271" s="8"/>
      <c r="L271" s="8"/>
    </row>
    <row r="272" spans="1:12">
      <c r="A272" s="8">
        <v>65</v>
      </c>
      <c r="B272" s="8" t="s">
        <v>60</v>
      </c>
      <c r="C272" s="8" t="s">
        <v>12</v>
      </c>
      <c r="D272" s="8">
        <v>6332.6</v>
      </c>
      <c r="E272" s="8">
        <v>41.2</v>
      </c>
      <c r="F272" s="15"/>
      <c r="G272" s="15"/>
      <c r="H272" s="15"/>
      <c r="I272" s="15"/>
      <c r="J272" s="20">
        <f>SUM(D272:I272)</f>
        <v>6373.8</v>
      </c>
      <c r="K272" s="8"/>
      <c r="L272" s="8"/>
    </row>
    <row r="273" spans="1:12" ht="15.75" thickBot="1">
      <c r="A273" s="8"/>
      <c r="B273" s="8"/>
      <c r="C273" s="8" t="s">
        <v>13</v>
      </c>
      <c r="D273" s="27"/>
      <c r="E273" s="27"/>
      <c r="F273" s="28"/>
      <c r="G273" s="28"/>
      <c r="H273" s="28"/>
      <c r="I273" s="28"/>
      <c r="J273" s="29"/>
      <c r="K273" s="8"/>
      <c r="L273" s="8"/>
    </row>
    <row r="274" spans="1:12">
      <c r="A274" s="8"/>
      <c r="B274" s="8"/>
      <c r="C274" s="8"/>
      <c r="D274" s="8"/>
      <c r="E274" s="8"/>
      <c r="F274" s="15"/>
      <c r="G274" s="15"/>
      <c r="H274" s="15"/>
      <c r="I274" s="15"/>
      <c r="J274" s="20"/>
      <c r="K274" s="8"/>
      <c r="L274" s="8"/>
    </row>
    <row r="275" spans="1:12" ht="15.75" thickBot="1">
      <c r="A275" s="8"/>
      <c r="B275" s="8"/>
      <c r="C275" s="8" t="s">
        <v>10</v>
      </c>
      <c r="D275" s="30">
        <f t="shared" ref="D275:I275" si="44">SUM(D272:D273)</f>
        <v>6332.6</v>
      </c>
      <c r="E275" s="30">
        <f t="shared" si="44"/>
        <v>41.2</v>
      </c>
      <c r="F275" s="30">
        <f t="shared" si="44"/>
        <v>0</v>
      </c>
      <c r="G275" s="30">
        <f t="shared" si="44"/>
        <v>0</v>
      </c>
      <c r="H275" s="30">
        <f t="shared" si="44"/>
        <v>0</v>
      </c>
      <c r="I275" s="30">
        <f t="shared" si="44"/>
        <v>0</v>
      </c>
      <c r="J275" s="31">
        <f>SUM(D275:I275)</f>
        <v>6373.8</v>
      </c>
      <c r="K275" s="8"/>
      <c r="L275" s="8"/>
    </row>
    <row r="276" spans="1:12" ht="15.75" thickTop="1">
      <c r="A276" s="8"/>
      <c r="B276" s="8"/>
      <c r="C276" s="8"/>
      <c r="D276" s="8"/>
      <c r="E276" s="8"/>
      <c r="F276" s="15"/>
      <c r="G276" s="15"/>
      <c r="H276" s="15"/>
      <c r="I276" s="15"/>
      <c r="J276" s="20"/>
      <c r="K276" s="8"/>
      <c r="L276" s="8"/>
    </row>
    <row r="277" spans="1:12">
      <c r="A277" s="8"/>
      <c r="B277" s="8"/>
      <c r="C277" s="8"/>
      <c r="D277" s="8"/>
      <c r="E277" s="8"/>
      <c r="F277" s="15"/>
      <c r="G277" s="15"/>
      <c r="H277" s="15"/>
      <c r="I277" s="15"/>
      <c r="J277" s="20"/>
      <c r="K277" s="8"/>
      <c r="L277" s="8"/>
    </row>
    <row r="278" spans="1:12">
      <c r="A278" s="8">
        <v>66</v>
      </c>
      <c r="B278" s="8" t="s">
        <v>61</v>
      </c>
      <c r="C278" s="8" t="s">
        <v>12</v>
      </c>
      <c r="D278" s="8">
        <v>10157.31</v>
      </c>
      <c r="E278" s="8">
        <v>531.07000000000005</v>
      </c>
      <c r="F278" s="15">
        <v>89.04</v>
      </c>
      <c r="G278" s="15">
        <v>66.430000000000007</v>
      </c>
      <c r="H278" s="15">
        <v>53.13</v>
      </c>
      <c r="I278" s="15"/>
      <c r="J278" s="20">
        <f>SUM(D278:I278)</f>
        <v>10896.98</v>
      </c>
      <c r="K278" s="8"/>
      <c r="L278" s="8"/>
    </row>
    <row r="279" spans="1:12">
      <c r="A279" s="8"/>
      <c r="B279" s="8"/>
      <c r="C279" s="8" t="s">
        <v>13</v>
      </c>
      <c r="D279" s="26"/>
      <c r="E279" s="26"/>
      <c r="F279" s="15"/>
      <c r="G279" s="15"/>
      <c r="H279" s="15"/>
      <c r="I279" s="15"/>
      <c r="J279" s="35">
        <f>SUM(D279:I279)</f>
        <v>0</v>
      </c>
      <c r="K279" s="8"/>
      <c r="L279" s="8"/>
    </row>
    <row r="280" spans="1:12" ht="15.75" thickBot="1">
      <c r="A280" s="8"/>
      <c r="B280" s="8"/>
      <c r="C280" s="8" t="s">
        <v>73</v>
      </c>
      <c r="D280" s="27">
        <v>687.39</v>
      </c>
      <c r="E280" s="27">
        <v>35.97</v>
      </c>
      <c r="F280" s="28">
        <v>6.04</v>
      </c>
      <c r="G280" s="27">
        <v>4.67</v>
      </c>
      <c r="H280" s="27">
        <v>3.63</v>
      </c>
      <c r="I280" s="27"/>
      <c r="J280" s="29">
        <f>SUM(D280:I280)</f>
        <v>737.69999999999993</v>
      </c>
      <c r="K280" s="8"/>
      <c r="L280" s="8"/>
    </row>
    <row r="281" spans="1:12">
      <c r="A281" s="8"/>
      <c r="B281" s="8"/>
      <c r="C281" s="8"/>
      <c r="D281" s="8"/>
      <c r="E281" s="8"/>
      <c r="F281" s="15"/>
      <c r="G281" s="8"/>
      <c r="H281" s="8"/>
      <c r="I281" s="8"/>
      <c r="J281" s="20"/>
      <c r="K281" s="8"/>
      <c r="L281" s="8"/>
    </row>
    <row r="282" spans="1:12" ht="15.75" thickBot="1">
      <c r="A282" s="8"/>
      <c r="B282" s="8"/>
      <c r="C282" s="8" t="s">
        <v>10</v>
      </c>
      <c r="D282" s="30">
        <f t="shared" ref="D282:I282" si="45">SUM(D278:D280)</f>
        <v>10844.699999999999</v>
      </c>
      <c r="E282" s="30">
        <f t="shared" si="45"/>
        <v>567.04000000000008</v>
      </c>
      <c r="F282" s="30">
        <f t="shared" si="45"/>
        <v>95.080000000000013</v>
      </c>
      <c r="G282" s="30">
        <f t="shared" si="45"/>
        <v>71.100000000000009</v>
      </c>
      <c r="H282" s="30">
        <f t="shared" si="45"/>
        <v>56.760000000000005</v>
      </c>
      <c r="I282" s="30">
        <f t="shared" si="45"/>
        <v>0</v>
      </c>
      <c r="J282" s="31">
        <f>SUM(D282:I282)</f>
        <v>11634.68</v>
      </c>
      <c r="K282" s="8"/>
      <c r="L282" s="8"/>
    </row>
    <row r="283" spans="1:12" ht="15.75" thickTop="1">
      <c r="A283" s="8"/>
      <c r="B283" s="8"/>
      <c r="C283" s="8"/>
      <c r="D283" s="8"/>
      <c r="E283" s="8"/>
      <c r="F283" s="15"/>
      <c r="G283" s="15"/>
      <c r="H283" s="15"/>
      <c r="I283" s="15"/>
      <c r="J283" s="20"/>
      <c r="K283" s="8"/>
      <c r="L283" s="8"/>
    </row>
    <row r="284" spans="1:12">
      <c r="A284" s="8"/>
      <c r="B284" s="8"/>
      <c r="C284" s="8"/>
      <c r="D284" s="8"/>
      <c r="E284" s="8"/>
      <c r="F284" s="15"/>
      <c r="G284" s="15"/>
      <c r="H284" s="15"/>
      <c r="I284" s="15"/>
      <c r="J284" s="20"/>
      <c r="K284" s="8"/>
      <c r="L284" s="8"/>
    </row>
    <row r="285" spans="1:12">
      <c r="A285" s="8">
        <v>67</v>
      </c>
      <c r="B285" s="8" t="s">
        <v>62</v>
      </c>
      <c r="C285" s="8" t="s">
        <v>12</v>
      </c>
      <c r="D285" s="8">
        <v>8002.43</v>
      </c>
      <c r="E285" s="8">
        <v>157.09</v>
      </c>
      <c r="F285" s="15">
        <v>149.88</v>
      </c>
      <c r="G285" s="15">
        <v>133.27000000000001</v>
      </c>
      <c r="H285" s="15"/>
      <c r="I285" s="15"/>
      <c r="J285" s="20">
        <f>SUM(D285:I285)</f>
        <v>8442.67</v>
      </c>
      <c r="K285" s="8"/>
      <c r="L285" s="8"/>
    </row>
    <row r="286" spans="1:12" ht="15.75" thickBot="1">
      <c r="A286" s="8"/>
      <c r="B286" s="8"/>
      <c r="C286" s="8" t="s">
        <v>13</v>
      </c>
      <c r="D286" s="27">
        <v>239.84</v>
      </c>
      <c r="E286" s="27">
        <v>5.57</v>
      </c>
      <c r="F286" s="28">
        <v>5.14</v>
      </c>
      <c r="G286" s="28">
        <v>5.0199999999999996</v>
      </c>
      <c r="H286" s="28"/>
      <c r="I286" s="28"/>
      <c r="J286" s="29">
        <f>SUM(D286:I286)</f>
        <v>255.57</v>
      </c>
      <c r="K286" s="8"/>
      <c r="L286" s="8"/>
    </row>
    <row r="287" spans="1:12">
      <c r="A287" s="8"/>
      <c r="B287" s="8"/>
      <c r="C287" s="8"/>
      <c r="D287" s="8"/>
      <c r="E287" s="8"/>
      <c r="F287" s="15"/>
      <c r="G287" s="15"/>
      <c r="H287" s="15"/>
      <c r="I287" s="15"/>
      <c r="J287" s="20"/>
      <c r="K287" s="8"/>
      <c r="L287" s="8"/>
    </row>
    <row r="288" spans="1:12" ht="15.75" thickBot="1">
      <c r="A288" s="8"/>
      <c r="B288" s="8"/>
      <c r="C288" s="8" t="s">
        <v>10</v>
      </c>
      <c r="D288" s="30">
        <f t="shared" ref="D288:I288" si="46">SUM(D285:D286)</f>
        <v>8242.27</v>
      </c>
      <c r="E288" s="30">
        <f t="shared" si="46"/>
        <v>162.66</v>
      </c>
      <c r="F288" s="30">
        <f t="shared" si="46"/>
        <v>155.01999999999998</v>
      </c>
      <c r="G288" s="30">
        <f t="shared" si="46"/>
        <v>138.29000000000002</v>
      </c>
      <c r="H288" s="30">
        <f t="shared" si="46"/>
        <v>0</v>
      </c>
      <c r="I288" s="30">
        <f t="shared" si="46"/>
        <v>0</v>
      </c>
      <c r="J288" s="31">
        <f>SUM(D288:I288)</f>
        <v>8698.2400000000016</v>
      </c>
      <c r="K288" s="8"/>
      <c r="L288" s="8"/>
    </row>
    <row r="289" spans="1:12" ht="15.75" thickTop="1">
      <c r="A289" s="8"/>
      <c r="B289" s="8"/>
      <c r="C289" s="8"/>
      <c r="D289" s="8"/>
      <c r="E289" s="8"/>
      <c r="F289" s="15"/>
      <c r="G289" s="15"/>
      <c r="H289" s="15"/>
      <c r="I289" s="15"/>
      <c r="J289" s="20"/>
      <c r="K289" s="8"/>
      <c r="L289" s="8"/>
    </row>
    <row r="290" spans="1:12">
      <c r="A290" s="8"/>
      <c r="B290" s="8"/>
      <c r="C290" s="8"/>
      <c r="D290" s="8"/>
      <c r="E290" s="8"/>
      <c r="F290" s="15"/>
      <c r="G290" s="15"/>
      <c r="H290" s="15"/>
      <c r="I290" s="15"/>
      <c r="J290" s="20"/>
      <c r="K290" s="8"/>
      <c r="L290" s="8"/>
    </row>
    <row r="291" spans="1:12">
      <c r="A291" s="8">
        <v>68</v>
      </c>
      <c r="B291" s="8" t="s">
        <v>63</v>
      </c>
      <c r="C291" s="8" t="s">
        <v>12</v>
      </c>
      <c r="D291" s="8">
        <v>7408.28</v>
      </c>
      <c r="E291" s="8">
        <v>240.6</v>
      </c>
      <c r="F291" s="15">
        <v>240.2</v>
      </c>
      <c r="G291" s="15"/>
      <c r="H291" s="15"/>
      <c r="I291" s="15"/>
      <c r="J291" s="20">
        <f>SUM(D291:I291)</f>
        <v>7889.08</v>
      </c>
      <c r="K291" s="8"/>
      <c r="L291" s="8"/>
    </row>
    <row r="292" spans="1:12" ht="15.75" thickBot="1">
      <c r="A292" s="8"/>
      <c r="B292" s="8"/>
      <c r="C292" s="8" t="s">
        <v>13</v>
      </c>
      <c r="D292" s="27"/>
      <c r="E292" s="27"/>
      <c r="F292" s="28"/>
      <c r="G292" s="28"/>
      <c r="H292" s="28"/>
      <c r="I292" s="28"/>
      <c r="J292" s="29"/>
      <c r="K292" s="8"/>
      <c r="L292" s="8"/>
    </row>
    <row r="293" spans="1:12">
      <c r="A293" s="8"/>
      <c r="B293" s="8"/>
      <c r="C293" s="8"/>
      <c r="D293" s="8"/>
      <c r="E293" s="8"/>
      <c r="F293" s="15"/>
      <c r="G293" s="15"/>
      <c r="H293" s="15"/>
      <c r="I293" s="15"/>
      <c r="J293" s="20"/>
      <c r="K293" s="8"/>
      <c r="L293" s="8"/>
    </row>
    <row r="294" spans="1:12" ht="15.75" thickBot="1">
      <c r="A294" s="8"/>
      <c r="B294" s="8"/>
      <c r="C294" s="8" t="s">
        <v>10</v>
      </c>
      <c r="D294" s="30">
        <f t="shared" ref="D294:I294" si="47">SUM(D291:D292)</f>
        <v>7408.28</v>
      </c>
      <c r="E294" s="30">
        <f t="shared" si="47"/>
        <v>240.6</v>
      </c>
      <c r="F294" s="30">
        <f t="shared" si="47"/>
        <v>240.2</v>
      </c>
      <c r="G294" s="30">
        <f t="shared" si="47"/>
        <v>0</v>
      </c>
      <c r="H294" s="30">
        <f t="shared" si="47"/>
        <v>0</v>
      </c>
      <c r="I294" s="30">
        <f t="shared" si="47"/>
        <v>0</v>
      </c>
      <c r="J294" s="31">
        <f>SUM(D294:I294)</f>
        <v>7889.08</v>
      </c>
      <c r="K294" s="8"/>
      <c r="L294" s="8"/>
    </row>
    <row r="295" spans="1:12" ht="15.75" thickTop="1">
      <c r="A295" s="8"/>
      <c r="B295" s="8"/>
      <c r="C295" s="8"/>
      <c r="D295" s="8"/>
      <c r="E295" s="8"/>
      <c r="F295" s="15"/>
      <c r="G295" s="15"/>
      <c r="H295" s="15"/>
      <c r="I295" s="15"/>
      <c r="J295" s="20"/>
      <c r="K295" s="8"/>
      <c r="L295" s="8"/>
    </row>
    <row r="296" spans="1:12">
      <c r="A296" s="8"/>
      <c r="B296" s="8"/>
      <c r="C296" s="8"/>
      <c r="D296" s="8"/>
      <c r="E296" s="8"/>
      <c r="F296" s="15"/>
      <c r="G296" s="15"/>
      <c r="H296" s="15"/>
      <c r="I296" s="15"/>
      <c r="J296" s="20"/>
      <c r="K296" s="8"/>
      <c r="L296" s="8"/>
    </row>
    <row r="297" spans="1:12">
      <c r="A297" s="8">
        <v>69</v>
      </c>
      <c r="B297" s="8" t="s">
        <v>64</v>
      </c>
      <c r="C297" s="8" t="s">
        <v>12</v>
      </c>
      <c r="D297" s="8">
        <v>8527.2099999999991</v>
      </c>
      <c r="E297" s="8">
        <v>410.38</v>
      </c>
      <c r="F297" s="15">
        <v>87.75</v>
      </c>
      <c r="G297" s="15">
        <v>26.14</v>
      </c>
      <c r="H297" s="15">
        <v>24.39</v>
      </c>
      <c r="I297" s="15"/>
      <c r="J297" s="20">
        <f>SUM(D297:I297)</f>
        <v>9075.8699999999972</v>
      </c>
      <c r="K297" s="8"/>
      <c r="L297" s="8"/>
    </row>
    <row r="298" spans="1:12" ht="15.75" thickBot="1">
      <c r="A298" s="8"/>
      <c r="B298" s="8"/>
      <c r="C298" s="8" t="s">
        <v>13</v>
      </c>
      <c r="D298" s="33"/>
      <c r="E298" s="33"/>
      <c r="F298" s="28"/>
      <c r="G298" s="28"/>
      <c r="H298" s="28"/>
      <c r="I298" s="28"/>
      <c r="J298" s="34">
        <v>0</v>
      </c>
      <c r="K298" s="8"/>
      <c r="L298" s="8"/>
    </row>
    <row r="299" spans="1:12">
      <c r="A299" s="8"/>
      <c r="B299" s="8"/>
      <c r="C299" s="8"/>
      <c r="D299" s="8"/>
      <c r="E299" s="8"/>
      <c r="F299" s="15"/>
      <c r="G299" s="15"/>
      <c r="H299" s="15"/>
      <c r="I299" s="15"/>
      <c r="J299" s="20"/>
      <c r="K299" s="8"/>
      <c r="L299" s="8"/>
    </row>
    <row r="300" spans="1:12" ht="15.75" thickBot="1">
      <c r="A300" s="8"/>
      <c r="B300" s="8"/>
      <c r="C300" s="8" t="s">
        <v>10</v>
      </c>
      <c r="D300" s="30">
        <f t="shared" ref="D300:I300" si="48">SUM(D297:D298)</f>
        <v>8527.2099999999991</v>
      </c>
      <c r="E300" s="30">
        <f t="shared" si="48"/>
        <v>410.38</v>
      </c>
      <c r="F300" s="30">
        <f t="shared" si="48"/>
        <v>87.75</v>
      </c>
      <c r="G300" s="30">
        <f t="shared" si="48"/>
        <v>26.14</v>
      </c>
      <c r="H300" s="30">
        <f t="shared" si="48"/>
        <v>24.39</v>
      </c>
      <c r="I300" s="30">
        <f t="shared" si="48"/>
        <v>0</v>
      </c>
      <c r="J300" s="31">
        <f>SUM(D300:I300)</f>
        <v>9075.8699999999972</v>
      </c>
      <c r="K300" s="8"/>
      <c r="L300" s="8"/>
    </row>
    <row r="301" spans="1:12" ht="15.75" thickTop="1">
      <c r="A301" s="8"/>
      <c r="B301" s="8"/>
      <c r="C301" s="8"/>
      <c r="D301" s="8"/>
      <c r="E301" s="8"/>
      <c r="F301" s="15"/>
      <c r="G301" s="15"/>
      <c r="H301" s="15"/>
      <c r="I301" s="15"/>
      <c r="J301" s="20"/>
      <c r="K301" s="8"/>
      <c r="L301" s="8"/>
    </row>
    <row r="302" spans="1:12">
      <c r="A302" s="8"/>
      <c r="B302" s="8"/>
      <c r="C302" s="8"/>
      <c r="D302" s="8"/>
      <c r="E302" s="8"/>
      <c r="F302" s="15"/>
      <c r="G302" s="15"/>
      <c r="H302" s="15"/>
      <c r="I302" s="15"/>
      <c r="J302" s="20"/>
      <c r="K302" s="8"/>
      <c r="L302" s="8"/>
    </row>
    <row r="303" spans="1:12">
      <c r="A303" s="8">
        <v>70</v>
      </c>
      <c r="B303" s="8" t="s">
        <v>65</v>
      </c>
      <c r="C303" s="8" t="s">
        <v>12</v>
      </c>
      <c r="D303" s="8">
        <v>8028.53</v>
      </c>
      <c r="E303" s="8">
        <v>428.87</v>
      </c>
      <c r="F303" s="15">
        <v>290.8</v>
      </c>
      <c r="G303" s="15">
        <v>239.9</v>
      </c>
      <c r="H303" s="15">
        <v>207.94</v>
      </c>
      <c r="I303" s="15"/>
      <c r="J303" s="20">
        <f>SUM(D303:I303)</f>
        <v>9196.0399999999991</v>
      </c>
      <c r="K303" s="8"/>
      <c r="L303" s="8"/>
    </row>
    <row r="304" spans="1:12" ht="15.75" thickBot="1">
      <c r="A304" s="8"/>
      <c r="B304" s="8"/>
      <c r="C304" s="8" t="s">
        <v>78</v>
      </c>
      <c r="D304" s="33"/>
      <c r="E304" s="33"/>
      <c r="F304" s="28"/>
      <c r="G304" s="28"/>
      <c r="H304" s="28"/>
      <c r="I304" s="28"/>
      <c r="J304" s="29">
        <f>SUM(D304:I304)</f>
        <v>0</v>
      </c>
      <c r="K304" s="8"/>
      <c r="L304" s="8"/>
    </row>
    <row r="305" spans="1:12">
      <c r="A305" s="8"/>
      <c r="B305" s="8"/>
      <c r="C305" s="8"/>
      <c r="D305" s="8"/>
      <c r="E305" s="8"/>
      <c r="F305" s="15"/>
      <c r="G305" s="15"/>
      <c r="H305" s="15"/>
      <c r="I305" s="15"/>
      <c r="J305" s="20"/>
      <c r="K305" s="8"/>
      <c r="L305" s="8"/>
    </row>
    <row r="306" spans="1:12" ht="15.75" thickBot="1">
      <c r="A306" s="8"/>
      <c r="B306" s="8"/>
      <c r="C306" s="8" t="s">
        <v>10</v>
      </c>
      <c r="D306" s="30">
        <f t="shared" ref="D306:I306" si="49">SUM(D303:D305)</f>
        <v>8028.53</v>
      </c>
      <c r="E306" s="30">
        <f t="shared" si="49"/>
        <v>428.87</v>
      </c>
      <c r="F306" s="30">
        <f t="shared" si="49"/>
        <v>290.8</v>
      </c>
      <c r="G306" s="30">
        <f t="shared" si="49"/>
        <v>239.9</v>
      </c>
      <c r="H306" s="30">
        <f t="shared" si="49"/>
        <v>207.94</v>
      </c>
      <c r="I306" s="30">
        <f t="shared" si="49"/>
        <v>0</v>
      </c>
      <c r="J306" s="31">
        <f>SUM(D306:I306)</f>
        <v>9196.0399999999991</v>
      </c>
      <c r="K306" s="8"/>
      <c r="L306" s="8"/>
    </row>
    <row r="307" spans="1:12" ht="15.75" thickTop="1">
      <c r="A307" s="8"/>
      <c r="B307" s="8"/>
      <c r="C307" s="8"/>
      <c r="D307" s="8"/>
      <c r="E307" s="8"/>
      <c r="F307" s="15"/>
      <c r="G307" s="15"/>
      <c r="H307" s="15"/>
      <c r="I307" s="15"/>
      <c r="J307" s="20"/>
      <c r="K307" s="8"/>
      <c r="L307" s="8"/>
    </row>
    <row r="308" spans="1:12">
      <c r="A308" s="8"/>
      <c r="B308" s="8"/>
      <c r="C308" s="8" t="s">
        <v>66</v>
      </c>
      <c r="D308" s="15">
        <f t="shared" ref="D308:I308" si="50">SUM(D9:D306)/2</f>
        <v>561133.37000000023</v>
      </c>
      <c r="E308" s="15">
        <f t="shared" si="50"/>
        <v>14123.85999999999</v>
      </c>
      <c r="F308" s="15">
        <f t="shared" si="50"/>
        <v>7323.2599999999984</v>
      </c>
      <c r="G308" s="15">
        <f t="shared" si="50"/>
        <v>4014.5900000000015</v>
      </c>
      <c r="H308" s="15">
        <f t="shared" si="50"/>
        <v>1918.8199999999997</v>
      </c>
      <c r="I308" s="15">
        <f t="shared" si="50"/>
        <v>13.31</v>
      </c>
      <c r="J308" s="20">
        <f>SUM(D308:I308)</f>
        <v>588527.2100000002</v>
      </c>
      <c r="K308" s="8"/>
      <c r="L308" s="8"/>
    </row>
    <row r="309" spans="1:12">
      <c r="A309" s="8"/>
      <c r="B309" s="8"/>
      <c r="C309" s="8"/>
      <c r="D309" s="8"/>
      <c r="E309" s="8"/>
      <c r="F309" s="15"/>
      <c r="G309" s="8"/>
      <c r="H309" s="8"/>
      <c r="I309" s="8"/>
      <c r="J309" s="20"/>
      <c r="K309" s="8"/>
      <c r="L309" s="8"/>
    </row>
    <row r="310" spans="1:12">
      <c r="A310" s="8"/>
      <c r="B310" s="8"/>
      <c r="C310" s="8"/>
      <c r="D310" s="8"/>
      <c r="E310" s="8"/>
      <c r="F310" s="8"/>
      <c r="G310" s="8"/>
      <c r="H310" s="8"/>
      <c r="I310" s="8"/>
      <c r="J310" s="20"/>
      <c r="K310" s="8"/>
      <c r="L310" s="8"/>
    </row>
  </sheetData>
  <phoneticPr fontId="0" type="noConversion"/>
  <pageMargins left="0.25" right="0.25" top="0.25" bottom="0.25" header="0.5" footer="0.5"/>
  <pageSetup scale="70" fitToHeight="50" orientation="landscape" r:id="rId1"/>
  <headerFooter alignWithMargins="0"/>
  <rowBreaks count="51" manualBreakCount="51">
    <brk id="7" max="65535" man="1"/>
    <brk id="13" max="9" man="1"/>
    <brk id="18" max="65535" man="1"/>
    <brk id="24" max="65535" man="1"/>
    <brk id="30" max="65535" man="1"/>
    <brk id="36" max="65535" man="1"/>
    <brk id="43" max="65535" man="1"/>
    <brk id="49" max="65535" man="1"/>
    <brk id="56" max="65535" man="1"/>
    <brk id="62" max="65535" man="1"/>
    <brk id="68" max="65535" man="1"/>
    <brk id="75" max="65535" man="1"/>
    <brk id="82" max="65535" man="1"/>
    <brk id="89" max="65535" man="1"/>
    <brk id="94" max="65535" man="1"/>
    <brk id="100" max="65535" man="1"/>
    <brk id="105" max="65535" man="1"/>
    <brk id="111" max="65535" man="1"/>
    <brk id="118" max="65535" man="1"/>
    <brk id="123" max="9" man="1"/>
    <brk id="128" max="65535" man="1"/>
    <brk id="134" max="65535" man="1"/>
    <brk id="141" max="65535" man="1"/>
    <brk id="148" max="9" man="1"/>
    <brk id="154" max="9" man="1"/>
    <brk id="158" max="9" man="1"/>
    <brk id="163" max="65535" man="1"/>
    <brk id="168" max="65535" man="1"/>
    <brk id="173" max="65535" man="1"/>
    <brk id="179" max="65535" man="1"/>
    <brk id="186" max="65535" man="1"/>
    <brk id="192" max="65535" man="1"/>
    <brk id="198" max="65535" man="1"/>
    <brk id="206" max="16383" man="1"/>
    <brk id="211" max="16383" man="1"/>
    <brk id="217" max="16383" man="1"/>
    <brk id="223" max="16383" man="1"/>
    <brk id="229" max="16383" man="1"/>
    <brk id="235" max="16383" man="1"/>
    <brk id="241" max="16383" man="1"/>
    <brk id="246" max="16383" man="1"/>
    <brk id="253" max="16383" man="1"/>
    <brk id="259" max="16383" man="1"/>
    <brk id="265" max="16383" man="1"/>
    <brk id="270" max="16383" man="1"/>
    <brk id="276" max="16383" man="1"/>
    <brk id="283" max="16383" man="1"/>
    <brk id="289" max="16383" man="1"/>
    <brk id="295" max="16383" man="1"/>
    <brk id="300" max="16383" man="1"/>
    <brk id="30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A1:L310"/>
  <sheetViews>
    <sheetView showOutlineSymbols="0" defaultGridColor="0" view="pageBreakPreview" topLeftCell="A244" colorId="23" zoomScale="60" zoomScaleNormal="75" workbookViewId="0">
      <selection activeCell="F267" sqref="F267:J267"/>
    </sheetView>
  </sheetViews>
  <sheetFormatPr defaultColWidth="9.6640625" defaultRowHeight="15"/>
  <cols>
    <col min="1" max="1" width="9.6640625" style="10" customWidth="1"/>
    <col min="2" max="2" width="27.44140625" style="10" bestFit="1" customWidth="1"/>
    <col min="3" max="3" width="24.44140625" style="10" bestFit="1" customWidth="1"/>
    <col min="4" max="5" width="12.77734375" style="23" customWidth="1"/>
    <col min="6" max="6" width="12.6640625" style="10" customWidth="1"/>
    <col min="7" max="8" width="11.6640625" style="10" customWidth="1"/>
    <col min="9" max="9" width="9.6640625" style="10" customWidth="1"/>
    <col min="10" max="10" width="14.44140625" style="23" customWidth="1"/>
    <col min="11" max="16384" width="9.6640625" style="10"/>
  </cols>
  <sheetData>
    <row r="1" spans="1:12">
      <c r="A1" s="8"/>
      <c r="B1" s="8"/>
      <c r="C1" s="8"/>
      <c r="D1" s="20"/>
      <c r="E1" s="20"/>
      <c r="F1" s="8"/>
      <c r="G1" s="8"/>
      <c r="H1" s="8"/>
      <c r="I1" s="9"/>
      <c r="J1" s="20"/>
      <c r="K1" s="8"/>
      <c r="L1" s="8"/>
    </row>
    <row r="2" spans="1:12">
      <c r="A2" s="8"/>
      <c r="B2" s="8"/>
      <c r="C2" s="8"/>
      <c r="D2" s="20"/>
      <c r="E2" s="20"/>
      <c r="F2" s="8"/>
      <c r="G2" s="8"/>
      <c r="H2" s="8"/>
      <c r="I2" s="8"/>
      <c r="J2" s="20"/>
      <c r="K2" s="8"/>
      <c r="L2" s="8"/>
    </row>
    <row r="3" spans="1:12">
      <c r="A3" s="8"/>
      <c r="B3" s="8" t="s">
        <v>96</v>
      </c>
      <c r="C3" s="8"/>
      <c r="D3" s="20"/>
      <c r="E3" s="20"/>
      <c r="F3" s="8"/>
      <c r="G3" s="8"/>
      <c r="H3" s="8"/>
      <c r="I3" s="8"/>
      <c r="J3" s="20"/>
      <c r="K3" s="8"/>
      <c r="L3" s="8"/>
    </row>
    <row r="4" spans="1:12" ht="15.75">
      <c r="A4" s="8"/>
      <c r="B4" s="11" t="s">
        <v>1</v>
      </c>
      <c r="C4" s="9"/>
      <c r="D4" s="21"/>
      <c r="E4" s="21"/>
      <c r="F4" s="9"/>
      <c r="G4" s="9"/>
      <c r="H4" s="9"/>
      <c r="I4" s="9"/>
      <c r="J4" s="21"/>
      <c r="K4" s="8"/>
      <c r="L4" s="8"/>
    </row>
    <row r="5" spans="1:12" ht="15.75">
      <c r="A5" s="8"/>
      <c r="B5" s="11" t="s">
        <v>101</v>
      </c>
      <c r="C5" s="9"/>
      <c r="D5" s="21"/>
      <c r="E5" s="21"/>
      <c r="F5" s="9"/>
      <c r="G5" s="9"/>
      <c r="H5" s="9"/>
      <c r="I5" s="9"/>
      <c r="J5" s="21"/>
      <c r="K5" s="8"/>
      <c r="L5" s="8"/>
    </row>
    <row r="6" spans="1:12">
      <c r="A6" s="8"/>
      <c r="B6" s="8"/>
      <c r="C6" s="8"/>
      <c r="D6" s="20"/>
      <c r="E6" s="20"/>
      <c r="F6" s="8"/>
      <c r="G6" s="8"/>
      <c r="H6" s="8"/>
      <c r="I6" s="8"/>
      <c r="J6" s="20"/>
      <c r="K6" s="8"/>
      <c r="L6" s="8"/>
    </row>
    <row r="7" spans="1:12">
      <c r="A7" s="8"/>
      <c r="B7" s="12" t="s">
        <v>3</v>
      </c>
      <c r="C7" s="12" t="s">
        <v>4</v>
      </c>
      <c r="D7" s="37">
        <v>2004</v>
      </c>
      <c r="E7" s="37">
        <v>2003</v>
      </c>
      <c r="F7" s="13">
        <v>2002</v>
      </c>
      <c r="G7" s="13">
        <v>2001</v>
      </c>
      <c r="H7" s="13">
        <v>2000</v>
      </c>
      <c r="I7" s="14">
        <v>1999</v>
      </c>
      <c r="J7" s="22" t="s">
        <v>10</v>
      </c>
      <c r="K7" s="8"/>
      <c r="L7" s="8"/>
    </row>
    <row r="8" spans="1:12">
      <c r="A8" s="8"/>
      <c r="B8" s="8"/>
      <c r="C8" s="8"/>
      <c r="D8" s="20"/>
      <c r="E8" s="20"/>
      <c r="F8" s="8"/>
      <c r="G8" s="8"/>
      <c r="H8" s="8"/>
      <c r="I8" s="8"/>
      <c r="J8" s="20"/>
      <c r="K8" s="8"/>
      <c r="L8" s="8"/>
    </row>
    <row r="9" spans="1:12">
      <c r="A9" s="8">
        <v>21</v>
      </c>
      <c r="B9" s="8" t="s">
        <v>11</v>
      </c>
      <c r="C9" s="8" t="s">
        <v>12</v>
      </c>
      <c r="D9" s="20">
        <v>7448.99</v>
      </c>
      <c r="E9" s="20">
        <v>219.63</v>
      </c>
      <c r="F9" s="15">
        <v>3.4</v>
      </c>
      <c r="G9" s="15"/>
      <c r="H9" s="15"/>
      <c r="I9" s="15"/>
      <c r="J9" s="20">
        <f>SUM(D9:I9)</f>
        <v>7672.0199999999995</v>
      </c>
      <c r="K9" s="8"/>
      <c r="L9" s="8"/>
    </row>
    <row r="10" spans="1:12" ht="15.75" thickBot="1">
      <c r="A10" s="8"/>
      <c r="B10" s="8"/>
      <c r="C10" s="8" t="s">
        <v>13</v>
      </c>
      <c r="D10" s="29">
        <v>196.97</v>
      </c>
      <c r="E10" s="29">
        <v>6.29</v>
      </c>
      <c r="F10" s="28">
        <v>0.08</v>
      </c>
      <c r="G10" s="28"/>
      <c r="H10" s="28"/>
      <c r="I10" s="28"/>
      <c r="J10" s="29">
        <f>SUM(D10:I10)</f>
        <v>203.34</v>
      </c>
      <c r="K10" s="8"/>
      <c r="L10" s="8"/>
    </row>
    <row r="11" spans="1:12">
      <c r="A11" s="8"/>
      <c r="B11" s="8"/>
      <c r="C11" s="8"/>
      <c r="D11" s="20"/>
      <c r="E11" s="20"/>
      <c r="F11" s="15"/>
      <c r="G11" s="15"/>
      <c r="H11" s="15"/>
      <c r="I11" s="15"/>
      <c r="J11" s="20"/>
      <c r="K11" s="8"/>
      <c r="L11" s="8"/>
    </row>
    <row r="12" spans="1:12" ht="15.75" thickBot="1">
      <c r="A12" s="8"/>
      <c r="B12" s="8"/>
      <c r="C12" s="8" t="s">
        <v>10</v>
      </c>
      <c r="D12" s="31">
        <f t="shared" ref="D12:I12" si="0">SUM(D9:D10)</f>
        <v>7645.96</v>
      </c>
      <c r="E12" s="31">
        <f t="shared" si="0"/>
        <v>225.92</v>
      </c>
      <c r="F12" s="30">
        <f t="shared" si="0"/>
        <v>3.48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>SUM(D12:I12)</f>
        <v>7875.36</v>
      </c>
      <c r="K12" s="8"/>
      <c r="L12" s="8"/>
    </row>
    <row r="13" spans="1:12" ht="15.75" thickTop="1">
      <c r="A13" s="8"/>
      <c r="B13" s="8"/>
      <c r="C13" s="8"/>
      <c r="D13" s="20"/>
      <c r="E13" s="20"/>
      <c r="F13" s="15"/>
      <c r="G13" s="8"/>
      <c r="H13" s="8"/>
      <c r="I13" s="8"/>
      <c r="J13" s="20"/>
      <c r="K13" s="8"/>
      <c r="L13" s="8"/>
    </row>
    <row r="14" spans="1:12">
      <c r="A14" s="8">
        <v>22</v>
      </c>
      <c r="B14" s="8" t="s">
        <v>15</v>
      </c>
      <c r="C14" s="8" t="s">
        <v>12</v>
      </c>
      <c r="D14" s="20">
        <v>10619.48</v>
      </c>
      <c r="E14" s="20">
        <v>120.28</v>
      </c>
      <c r="F14" s="15">
        <v>18.190000000000001</v>
      </c>
      <c r="G14" s="15">
        <v>23.94</v>
      </c>
      <c r="H14" s="15">
        <v>23.3</v>
      </c>
      <c r="I14" s="15"/>
      <c r="J14" s="20">
        <f>SUM(D14:I14)</f>
        <v>10805.19</v>
      </c>
      <c r="K14" s="8"/>
      <c r="L14" s="8"/>
    </row>
    <row r="15" spans="1:12" ht="15.75" thickBot="1">
      <c r="A15" s="8"/>
      <c r="B15" s="8"/>
      <c r="C15" s="8" t="s">
        <v>13</v>
      </c>
      <c r="D15" s="29">
        <v>590.5</v>
      </c>
      <c r="E15" s="29">
        <v>6.83</v>
      </c>
      <c r="F15" s="28">
        <v>1.65</v>
      </c>
      <c r="G15" s="28">
        <v>1.58</v>
      </c>
      <c r="H15" s="28">
        <v>1.56</v>
      </c>
      <c r="I15" s="28"/>
      <c r="J15" s="29">
        <f>SUM(D15:I15)</f>
        <v>602.12</v>
      </c>
      <c r="K15" s="8"/>
      <c r="L15" s="8"/>
    </row>
    <row r="16" spans="1:12">
      <c r="A16" s="8"/>
      <c r="B16" s="8"/>
      <c r="C16" s="8"/>
      <c r="D16" s="20"/>
      <c r="E16" s="20"/>
      <c r="F16" s="15"/>
      <c r="G16" s="15"/>
      <c r="H16" s="15"/>
      <c r="I16" s="15"/>
      <c r="J16" s="20"/>
      <c r="K16" s="8"/>
      <c r="L16" s="8"/>
    </row>
    <row r="17" spans="1:12" ht="15.75" thickBot="1">
      <c r="A17" s="8"/>
      <c r="B17" s="8"/>
      <c r="C17" s="8" t="s">
        <v>10</v>
      </c>
      <c r="D17" s="31">
        <f t="shared" ref="D17:I17" si="1">SUM(D14:D15)</f>
        <v>11209.98</v>
      </c>
      <c r="E17" s="31">
        <f t="shared" si="1"/>
        <v>127.11</v>
      </c>
      <c r="F17" s="30">
        <f t="shared" si="1"/>
        <v>19.84</v>
      </c>
      <c r="G17" s="30">
        <f t="shared" si="1"/>
        <v>25.520000000000003</v>
      </c>
      <c r="H17" s="30">
        <f t="shared" si="1"/>
        <v>24.86</v>
      </c>
      <c r="I17" s="30">
        <f t="shared" si="1"/>
        <v>0</v>
      </c>
      <c r="J17" s="31">
        <f>SUM(D17:I17)</f>
        <v>11407.310000000001</v>
      </c>
      <c r="K17" s="8"/>
      <c r="L17" s="8"/>
    </row>
    <row r="18" spans="1:12" ht="15.75" thickTop="1">
      <c r="A18" s="8"/>
      <c r="B18" s="8"/>
      <c r="C18" s="8"/>
      <c r="D18" s="20"/>
      <c r="E18" s="20"/>
      <c r="F18" s="15"/>
      <c r="G18" s="15"/>
      <c r="H18" s="15"/>
      <c r="I18" s="15"/>
      <c r="J18" s="20"/>
      <c r="K18" s="8"/>
      <c r="L18" s="8"/>
    </row>
    <row r="19" spans="1:12">
      <c r="A19" s="8">
        <v>23</v>
      </c>
      <c r="B19" s="8" t="s">
        <v>16</v>
      </c>
      <c r="C19" s="8" t="s">
        <v>12</v>
      </c>
      <c r="D19" s="20">
        <v>6901.95</v>
      </c>
      <c r="E19" s="20">
        <v>668.53</v>
      </c>
      <c r="F19" s="15">
        <v>395.39</v>
      </c>
      <c r="G19" s="15">
        <v>386.35</v>
      </c>
      <c r="H19" s="15">
        <v>372.06</v>
      </c>
      <c r="I19" s="15"/>
      <c r="J19" s="20">
        <f>SUM(D19:I19)</f>
        <v>8724.2799999999988</v>
      </c>
      <c r="K19" s="8"/>
      <c r="L19" s="8"/>
    </row>
    <row r="20" spans="1:12" ht="15.75" thickBot="1">
      <c r="A20" s="8"/>
      <c r="B20" s="8"/>
      <c r="C20" s="8" t="s">
        <v>13</v>
      </c>
      <c r="D20" s="29"/>
      <c r="E20" s="29"/>
      <c r="F20" s="28"/>
      <c r="G20" s="28"/>
      <c r="H20" s="28"/>
      <c r="I20" s="28"/>
      <c r="J20" s="29">
        <f>SUM(D20:I20)</f>
        <v>0</v>
      </c>
      <c r="K20" s="8"/>
      <c r="L20" s="8"/>
    </row>
    <row r="21" spans="1:12">
      <c r="A21" s="8"/>
      <c r="B21" s="8"/>
      <c r="C21" s="8"/>
      <c r="D21" s="20"/>
      <c r="E21" s="20"/>
      <c r="F21" s="15"/>
      <c r="G21" s="15"/>
      <c r="H21" s="15"/>
      <c r="I21" s="15"/>
      <c r="J21" s="20"/>
      <c r="K21" s="8"/>
      <c r="L21" s="8"/>
    </row>
    <row r="22" spans="1:12" ht="15.75" thickBot="1">
      <c r="A22" s="8"/>
      <c r="B22" s="8"/>
      <c r="C22" s="8" t="s">
        <v>10</v>
      </c>
      <c r="D22" s="31">
        <f t="shared" ref="D22:I22" si="2">SUM(D19:D20)</f>
        <v>6901.95</v>
      </c>
      <c r="E22" s="31">
        <f t="shared" si="2"/>
        <v>668.53</v>
      </c>
      <c r="F22" s="30">
        <f t="shared" si="2"/>
        <v>395.39</v>
      </c>
      <c r="G22" s="30">
        <f t="shared" si="2"/>
        <v>386.35</v>
      </c>
      <c r="H22" s="30">
        <f t="shared" si="2"/>
        <v>372.06</v>
      </c>
      <c r="I22" s="30">
        <f t="shared" si="2"/>
        <v>0</v>
      </c>
      <c r="J22" s="31">
        <f>SUM(D22:I22)</f>
        <v>8724.2799999999988</v>
      </c>
      <c r="K22" s="8"/>
      <c r="L22" s="8"/>
    </row>
    <row r="23" spans="1:12" ht="15.75" thickTop="1">
      <c r="A23" s="8"/>
      <c r="B23" s="8"/>
      <c r="C23" s="8"/>
      <c r="D23" s="20"/>
      <c r="E23" s="20"/>
      <c r="F23" s="15"/>
      <c r="G23" s="15"/>
      <c r="H23" s="15"/>
      <c r="I23" s="15"/>
      <c r="J23" s="20"/>
      <c r="K23" s="8"/>
      <c r="L23" s="8"/>
    </row>
    <row r="24" spans="1:12">
      <c r="A24" s="8"/>
      <c r="B24" s="8"/>
      <c r="C24" s="8"/>
      <c r="D24" s="20"/>
      <c r="E24" s="20"/>
      <c r="F24" s="15"/>
      <c r="G24" s="8"/>
      <c r="H24" s="8"/>
      <c r="I24" s="8"/>
      <c r="J24" s="20"/>
      <c r="K24" s="8"/>
      <c r="L24" s="8"/>
    </row>
    <row r="25" spans="1:12">
      <c r="A25" s="8"/>
      <c r="B25" s="8"/>
      <c r="C25" s="8"/>
      <c r="D25" s="20"/>
      <c r="E25" s="20"/>
      <c r="F25" s="15"/>
      <c r="G25" s="15"/>
      <c r="H25" s="15"/>
      <c r="I25" s="15"/>
      <c r="J25" s="20"/>
      <c r="K25" s="8"/>
      <c r="L25" s="8"/>
    </row>
    <row r="26" spans="1:12" ht="15.75" thickBot="1">
      <c r="A26" s="8">
        <v>24</v>
      </c>
      <c r="B26" s="8" t="s">
        <v>17</v>
      </c>
      <c r="C26" s="8" t="s">
        <v>12</v>
      </c>
      <c r="D26" s="29">
        <v>5169.88</v>
      </c>
      <c r="E26" s="29">
        <v>153.74</v>
      </c>
      <c r="F26" s="28"/>
      <c r="G26" s="28"/>
      <c r="H26" s="28"/>
      <c r="I26" s="28"/>
      <c r="J26" s="29">
        <f>SUM(D26:I26)</f>
        <v>5323.62</v>
      </c>
      <c r="K26" s="8"/>
      <c r="L26" s="8"/>
    </row>
    <row r="27" spans="1:12">
      <c r="A27" s="8"/>
      <c r="B27" s="8"/>
      <c r="C27" s="8"/>
      <c r="D27" s="20"/>
      <c r="E27" s="20"/>
      <c r="F27" s="15"/>
      <c r="G27" s="15"/>
      <c r="H27" s="15"/>
      <c r="I27" s="15"/>
      <c r="J27" s="20"/>
      <c r="K27" s="8"/>
      <c r="L27" s="8"/>
    </row>
    <row r="28" spans="1:12" ht="15.75" thickBot="1">
      <c r="A28" s="8"/>
      <c r="B28" s="8"/>
      <c r="C28" s="8" t="s">
        <v>10</v>
      </c>
      <c r="D28" s="31">
        <f t="shared" ref="D28:I28" si="3">SUM(D26:D27)</f>
        <v>5169.88</v>
      </c>
      <c r="E28" s="31">
        <f t="shared" si="3"/>
        <v>153.74</v>
      </c>
      <c r="F28" s="30">
        <f t="shared" si="3"/>
        <v>0</v>
      </c>
      <c r="G28" s="30">
        <f t="shared" si="3"/>
        <v>0</v>
      </c>
      <c r="H28" s="30">
        <f t="shared" si="3"/>
        <v>0</v>
      </c>
      <c r="I28" s="30">
        <f t="shared" si="3"/>
        <v>0</v>
      </c>
      <c r="J28" s="31">
        <f>SUM(D28:I28)</f>
        <v>5323.62</v>
      </c>
      <c r="K28" s="8"/>
      <c r="L28" s="8"/>
    </row>
    <row r="29" spans="1:12" ht="15.75" thickTop="1">
      <c r="A29" s="8"/>
      <c r="B29" s="8"/>
      <c r="C29" s="8"/>
      <c r="D29" s="20"/>
      <c r="E29" s="20"/>
      <c r="F29" s="15"/>
      <c r="G29" s="15"/>
      <c r="H29" s="15"/>
      <c r="I29" s="15"/>
      <c r="J29" s="20"/>
      <c r="K29" s="8"/>
      <c r="L29" s="8"/>
    </row>
    <row r="30" spans="1:12">
      <c r="A30" s="8"/>
      <c r="B30" s="8"/>
      <c r="C30" s="8"/>
      <c r="D30" s="20"/>
      <c r="E30" s="20"/>
      <c r="F30" s="15"/>
      <c r="G30" s="8"/>
      <c r="H30" s="8"/>
      <c r="I30" s="8"/>
      <c r="J30" s="20"/>
      <c r="K30" s="8"/>
      <c r="L30" s="8"/>
    </row>
    <row r="31" spans="1:12">
      <c r="A31" s="8"/>
      <c r="B31" s="8"/>
      <c r="C31" s="8"/>
      <c r="D31" s="20"/>
      <c r="E31" s="20"/>
      <c r="F31" s="15"/>
      <c r="G31" s="15"/>
      <c r="H31" s="15"/>
      <c r="I31" s="15"/>
      <c r="J31" s="20"/>
      <c r="K31" s="8"/>
      <c r="L31" s="8"/>
    </row>
    <row r="32" spans="1:12" ht="15.75" thickBot="1">
      <c r="A32" s="8">
        <v>25</v>
      </c>
      <c r="B32" s="8" t="s">
        <v>18</v>
      </c>
      <c r="C32" s="8" t="s">
        <v>12</v>
      </c>
      <c r="D32" s="29">
        <v>20072.21</v>
      </c>
      <c r="E32" s="29">
        <v>117.13</v>
      </c>
      <c r="F32" s="28">
        <v>29.32</v>
      </c>
      <c r="G32" s="28"/>
      <c r="H32" s="28"/>
      <c r="I32" s="28"/>
      <c r="J32" s="29">
        <f>SUM(D32:I32)</f>
        <v>20218.66</v>
      </c>
      <c r="K32" s="8"/>
      <c r="L32" s="8"/>
    </row>
    <row r="33" spans="1:12">
      <c r="A33" s="8"/>
      <c r="B33" s="8"/>
      <c r="C33" s="8"/>
      <c r="D33" s="20"/>
      <c r="E33" s="20"/>
      <c r="F33" s="15"/>
      <c r="G33" s="15"/>
      <c r="H33" s="15"/>
      <c r="I33" s="15"/>
      <c r="J33" s="20"/>
      <c r="K33" s="8"/>
      <c r="L33" s="8"/>
    </row>
    <row r="34" spans="1:12" ht="15.75" thickBot="1">
      <c r="A34" s="8"/>
      <c r="B34" s="8"/>
      <c r="C34" s="8" t="s">
        <v>10</v>
      </c>
      <c r="D34" s="31">
        <f t="shared" ref="D34:I34" si="4">SUM(D32:D33)</f>
        <v>20072.21</v>
      </c>
      <c r="E34" s="31">
        <f t="shared" si="4"/>
        <v>117.13</v>
      </c>
      <c r="F34" s="30">
        <f t="shared" si="4"/>
        <v>29.32</v>
      </c>
      <c r="G34" s="30">
        <f t="shared" si="4"/>
        <v>0</v>
      </c>
      <c r="H34" s="30">
        <f t="shared" si="4"/>
        <v>0</v>
      </c>
      <c r="I34" s="30">
        <f t="shared" si="4"/>
        <v>0</v>
      </c>
      <c r="J34" s="31">
        <f>SUM(D34:I34)</f>
        <v>20218.66</v>
      </c>
      <c r="K34" s="8"/>
      <c r="L34" s="8"/>
    </row>
    <row r="35" spans="1:12" ht="15.75" thickTop="1">
      <c r="A35" s="8"/>
      <c r="B35" s="8"/>
      <c r="C35" s="8"/>
      <c r="D35" s="20"/>
      <c r="E35" s="20"/>
      <c r="F35" s="15"/>
      <c r="G35" s="8"/>
      <c r="H35" s="8"/>
      <c r="I35" s="8"/>
      <c r="J35" s="20"/>
      <c r="K35" s="8"/>
      <c r="L35" s="8"/>
    </row>
    <row r="36" spans="1:12">
      <c r="A36" s="8"/>
      <c r="B36" s="8"/>
      <c r="C36" s="8"/>
      <c r="D36" s="20"/>
      <c r="E36" s="20"/>
      <c r="F36" s="15"/>
      <c r="G36" s="15"/>
      <c r="H36" s="15"/>
      <c r="I36" s="15"/>
      <c r="J36" s="20"/>
      <c r="K36" s="8"/>
      <c r="L36" s="8"/>
    </row>
    <row r="37" spans="1:12">
      <c r="A37" s="8"/>
      <c r="B37" s="8"/>
      <c r="C37" s="8"/>
      <c r="D37" s="20"/>
      <c r="E37" s="20"/>
      <c r="F37" s="15"/>
      <c r="G37" s="15"/>
      <c r="H37" s="15"/>
      <c r="I37" s="15"/>
      <c r="J37" s="20"/>
      <c r="K37" s="8"/>
      <c r="L37" s="8"/>
    </row>
    <row r="38" spans="1:12">
      <c r="A38" s="8">
        <v>26</v>
      </c>
      <c r="B38" s="8" t="s">
        <v>19</v>
      </c>
      <c r="C38" s="8" t="s">
        <v>12</v>
      </c>
      <c r="D38" s="20">
        <v>8128.87</v>
      </c>
      <c r="E38" s="20">
        <v>266.79000000000002</v>
      </c>
      <c r="F38" s="15">
        <v>264.70999999999998</v>
      </c>
      <c r="G38" s="15">
        <v>108.68</v>
      </c>
      <c r="H38" s="15">
        <v>18.04</v>
      </c>
      <c r="I38" s="15"/>
      <c r="J38" s="20">
        <f>SUM(D38:I38)</f>
        <v>8787.09</v>
      </c>
      <c r="K38" s="8"/>
      <c r="L38" s="8"/>
    </row>
    <row r="39" spans="1:12" ht="15.75" thickBot="1">
      <c r="A39" s="8"/>
      <c r="B39" s="8"/>
      <c r="C39" s="8" t="s">
        <v>13</v>
      </c>
      <c r="D39" s="29">
        <v>140.06</v>
      </c>
      <c r="E39" s="29">
        <v>4.7</v>
      </c>
      <c r="F39" s="28">
        <v>4.59</v>
      </c>
      <c r="G39" s="28">
        <v>2.48</v>
      </c>
      <c r="H39" s="28">
        <v>0.48</v>
      </c>
      <c r="I39" s="28"/>
      <c r="J39" s="29">
        <f>SUM(D39:I39)</f>
        <v>152.30999999999997</v>
      </c>
      <c r="K39" s="8"/>
      <c r="L39" s="8"/>
    </row>
    <row r="40" spans="1:12">
      <c r="A40" s="8"/>
      <c r="B40" s="8"/>
      <c r="C40" s="8"/>
      <c r="D40" s="20"/>
      <c r="E40" s="20"/>
      <c r="F40" s="15"/>
      <c r="G40" s="15"/>
      <c r="H40" s="15"/>
      <c r="I40" s="15"/>
      <c r="J40" s="20"/>
      <c r="K40" s="8"/>
      <c r="L40" s="8"/>
    </row>
    <row r="41" spans="1:12" ht="15.75" thickBot="1">
      <c r="A41" s="8"/>
      <c r="B41" s="8"/>
      <c r="C41" s="8" t="s">
        <v>10</v>
      </c>
      <c r="D41" s="31">
        <f t="shared" ref="D41:I41" si="5">SUM(D38:D39)</f>
        <v>8268.93</v>
      </c>
      <c r="E41" s="31">
        <f t="shared" si="5"/>
        <v>271.49</v>
      </c>
      <c r="F41" s="30">
        <f t="shared" si="5"/>
        <v>269.29999999999995</v>
      </c>
      <c r="G41" s="30">
        <f t="shared" si="5"/>
        <v>111.16000000000001</v>
      </c>
      <c r="H41" s="30">
        <f t="shared" si="5"/>
        <v>18.52</v>
      </c>
      <c r="I41" s="30">
        <f t="shared" si="5"/>
        <v>0</v>
      </c>
      <c r="J41" s="31">
        <f>SUM(D41:I41)</f>
        <v>8939.4</v>
      </c>
      <c r="K41" s="8"/>
      <c r="L41" s="8"/>
    </row>
    <row r="42" spans="1:12" ht="15.75" thickTop="1">
      <c r="A42" s="8"/>
      <c r="B42" s="8"/>
      <c r="C42" s="8"/>
      <c r="D42" s="20"/>
      <c r="E42" s="20"/>
      <c r="F42" s="15"/>
      <c r="G42" s="15"/>
      <c r="H42" s="15"/>
      <c r="I42" s="15"/>
      <c r="J42" s="20"/>
      <c r="K42" s="8"/>
      <c r="L42" s="8"/>
    </row>
    <row r="43" spans="1:12">
      <c r="A43" s="8"/>
      <c r="B43" s="8"/>
      <c r="C43" s="8"/>
      <c r="D43" s="20"/>
      <c r="E43" s="20"/>
      <c r="F43" s="15"/>
      <c r="G43" s="15"/>
      <c r="H43" s="15"/>
      <c r="I43" s="15"/>
      <c r="J43" s="20"/>
      <c r="K43" s="8"/>
      <c r="L43" s="8"/>
    </row>
    <row r="44" spans="1:12" ht="15.75" thickBot="1">
      <c r="A44" s="8">
        <v>27</v>
      </c>
      <c r="B44" s="8" t="s">
        <v>20</v>
      </c>
      <c r="C44" s="8" t="s">
        <v>12</v>
      </c>
      <c r="D44" s="29">
        <v>8594.7000000000007</v>
      </c>
      <c r="E44" s="29">
        <v>85.46</v>
      </c>
      <c r="F44" s="28"/>
      <c r="G44" s="28"/>
      <c r="H44" s="28"/>
      <c r="I44" s="28"/>
      <c r="J44" s="29">
        <f>SUM(D44:I44)</f>
        <v>8680.16</v>
      </c>
      <c r="K44" s="8"/>
      <c r="L44" s="8"/>
    </row>
    <row r="45" spans="1:12">
      <c r="A45" s="8"/>
      <c r="B45" s="8"/>
      <c r="C45" s="8"/>
      <c r="D45" s="20"/>
      <c r="E45" s="20"/>
      <c r="F45" s="15"/>
      <c r="G45" s="15"/>
      <c r="H45" s="15"/>
      <c r="I45" s="15"/>
      <c r="J45" s="20"/>
      <c r="K45" s="8"/>
      <c r="L45" s="8"/>
    </row>
    <row r="46" spans="1:12" ht="15.75" thickBot="1">
      <c r="A46" s="8"/>
      <c r="B46" s="8"/>
      <c r="C46" s="8" t="s">
        <v>10</v>
      </c>
      <c r="D46" s="31">
        <f t="shared" ref="D46:I46" si="6">SUM(D44:D45)</f>
        <v>8594.7000000000007</v>
      </c>
      <c r="E46" s="31">
        <f t="shared" si="6"/>
        <v>85.46</v>
      </c>
      <c r="F46" s="30">
        <f t="shared" si="6"/>
        <v>0</v>
      </c>
      <c r="G46" s="30">
        <f t="shared" si="6"/>
        <v>0</v>
      </c>
      <c r="H46" s="30">
        <f t="shared" si="6"/>
        <v>0</v>
      </c>
      <c r="I46" s="30">
        <f t="shared" si="6"/>
        <v>0</v>
      </c>
      <c r="J46" s="31">
        <f>SUM(D46:I46)</f>
        <v>8680.16</v>
      </c>
      <c r="K46" s="8"/>
      <c r="L46" s="8"/>
    </row>
    <row r="47" spans="1:12" ht="15.75" thickTop="1">
      <c r="A47" s="8"/>
      <c r="B47" s="8"/>
      <c r="C47" s="8"/>
      <c r="D47" s="20"/>
      <c r="E47" s="20"/>
      <c r="F47" s="15"/>
      <c r="G47" s="8"/>
      <c r="H47" s="8"/>
      <c r="I47" s="8"/>
      <c r="J47" s="20"/>
      <c r="K47" s="8"/>
      <c r="L47" s="8"/>
    </row>
    <row r="48" spans="1:12">
      <c r="A48" s="8"/>
      <c r="B48" s="8"/>
      <c r="C48" s="8"/>
      <c r="D48" s="20"/>
      <c r="E48" s="20"/>
      <c r="F48" s="15"/>
      <c r="G48" s="8"/>
      <c r="H48" s="8"/>
      <c r="I48" s="8"/>
      <c r="J48" s="20"/>
      <c r="K48" s="8"/>
      <c r="L48" s="8"/>
    </row>
    <row r="49" spans="1:12">
      <c r="A49" s="8"/>
      <c r="B49" s="8"/>
      <c r="C49" s="8"/>
      <c r="D49" s="20"/>
      <c r="E49" s="20"/>
      <c r="F49" s="15"/>
      <c r="G49" s="15"/>
      <c r="H49" s="15"/>
      <c r="I49" s="15"/>
      <c r="J49" s="20"/>
      <c r="K49" s="8"/>
      <c r="L49" s="8"/>
    </row>
    <row r="50" spans="1:12">
      <c r="A50" s="8"/>
      <c r="B50" s="8"/>
      <c r="C50" s="8"/>
      <c r="D50" s="20"/>
      <c r="E50" s="20"/>
      <c r="F50" s="15"/>
      <c r="G50" s="15"/>
      <c r="H50" s="15"/>
      <c r="I50" s="15"/>
      <c r="J50" s="20"/>
      <c r="K50" s="8"/>
      <c r="L50" s="8"/>
    </row>
    <row r="51" spans="1:12">
      <c r="A51" s="8">
        <v>28</v>
      </c>
      <c r="B51" s="8" t="s">
        <v>21</v>
      </c>
      <c r="C51" s="8" t="s">
        <v>12</v>
      </c>
      <c r="D51" s="20">
        <v>6231.94</v>
      </c>
      <c r="E51" s="20">
        <v>245.07</v>
      </c>
      <c r="F51" s="15"/>
      <c r="G51" s="15"/>
      <c r="H51" s="15"/>
      <c r="I51" s="15"/>
      <c r="J51" s="20">
        <f>SUM(D51:I51)</f>
        <v>6477.0099999999993</v>
      </c>
      <c r="K51" s="8"/>
      <c r="L51" s="8"/>
    </row>
    <row r="52" spans="1:12" ht="15.75" thickBot="1">
      <c r="A52" s="8"/>
      <c r="B52" s="8"/>
      <c r="C52" s="8" t="s">
        <v>13</v>
      </c>
      <c r="D52" s="29">
        <v>183.56</v>
      </c>
      <c r="E52" s="29">
        <v>7.66</v>
      </c>
      <c r="F52" s="28"/>
      <c r="G52" s="28"/>
      <c r="H52" s="28"/>
      <c r="I52" s="28"/>
      <c r="J52" s="29">
        <f>SUM(D52:I52)</f>
        <v>191.22</v>
      </c>
      <c r="K52" s="8"/>
      <c r="L52" s="8"/>
    </row>
    <row r="53" spans="1:12">
      <c r="A53" s="8"/>
      <c r="B53" s="8"/>
      <c r="C53" s="8"/>
      <c r="D53" s="20"/>
      <c r="E53" s="20"/>
      <c r="F53" s="15"/>
      <c r="G53" s="15"/>
      <c r="H53" s="15"/>
      <c r="I53" s="15"/>
      <c r="J53" s="20"/>
      <c r="K53" s="8"/>
      <c r="L53" s="8"/>
    </row>
    <row r="54" spans="1:12" ht="15.75" thickBot="1">
      <c r="A54" s="8"/>
      <c r="B54" s="8"/>
      <c r="C54" s="8" t="s">
        <v>10</v>
      </c>
      <c r="D54" s="31">
        <f t="shared" ref="D54:I54" si="7">SUM(D51:D52)</f>
        <v>6415.5</v>
      </c>
      <c r="E54" s="31">
        <f t="shared" si="7"/>
        <v>252.73</v>
      </c>
      <c r="F54" s="30">
        <f t="shared" si="7"/>
        <v>0</v>
      </c>
      <c r="G54" s="30">
        <f t="shared" si="7"/>
        <v>0</v>
      </c>
      <c r="H54" s="30">
        <f t="shared" si="7"/>
        <v>0</v>
      </c>
      <c r="I54" s="30">
        <f t="shared" si="7"/>
        <v>0</v>
      </c>
      <c r="J54" s="31">
        <f>SUM(D54:I54)</f>
        <v>6668.23</v>
      </c>
      <c r="K54" s="8"/>
      <c r="L54" s="8"/>
    </row>
    <row r="55" spans="1:12" ht="15.75" thickTop="1">
      <c r="A55" s="8"/>
      <c r="B55" s="8"/>
      <c r="C55" s="8"/>
      <c r="D55" s="20"/>
      <c r="E55" s="20"/>
      <c r="F55" s="15"/>
      <c r="G55" s="15"/>
      <c r="H55" s="15"/>
      <c r="I55" s="15"/>
      <c r="J55" s="20"/>
      <c r="K55" s="8"/>
      <c r="L55" s="8"/>
    </row>
    <row r="56" spans="1:12">
      <c r="A56" s="8"/>
      <c r="B56" s="8"/>
      <c r="C56" s="8"/>
      <c r="D56" s="20"/>
      <c r="E56" s="20"/>
      <c r="F56" s="15"/>
      <c r="G56" s="15"/>
      <c r="H56" s="15"/>
      <c r="I56" s="15"/>
      <c r="J56" s="20"/>
      <c r="K56" s="8"/>
      <c r="L56" s="8"/>
    </row>
    <row r="57" spans="1:12">
      <c r="A57" s="8">
        <v>29</v>
      </c>
      <c r="B57" s="8" t="s">
        <v>22</v>
      </c>
      <c r="C57" s="8" t="s">
        <v>12</v>
      </c>
      <c r="D57" s="20">
        <v>9700.41</v>
      </c>
      <c r="E57" s="20"/>
      <c r="F57" s="15"/>
      <c r="G57" s="15"/>
      <c r="H57" s="15"/>
      <c r="I57" s="15"/>
      <c r="J57" s="20">
        <f>SUM(D57:I57)</f>
        <v>9700.41</v>
      </c>
      <c r="K57" s="8"/>
      <c r="L57" s="8"/>
    </row>
    <row r="58" spans="1:12">
      <c r="A58" s="8"/>
      <c r="B58" s="8"/>
      <c r="C58" s="8" t="s">
        <v>35</v>
      </c>
      <c r="D58" s="20">
        <v>512.58000000000004</v>
      </c>
      <c r="E58" s="20"/>
      <c r="F58" s="15"/>
      <c r="G58" s="15"/>
      <c r="H58" s="15"/>
      <c r="I58" s="15"/>
      <c r="J58" s="20">
        <f>SUM(D58:I58)</f>
        <v>512.58000000000004</v>
      </c>
      <c r="K58" s="8"/>
      <c r="L58" s="8"/>
    </row>
    <row r="59" spans="1:12">
      <c r="A59" s="8"/>
      <c r="B59" s="8"/>
      <c r="C59" s="8" t="s">
        <v>13</v>
      </c>
      <c r="D59" s="20">
        <v>748.77</v>
      </c>
      <c r="E59" s="20"/>
      <c r="F59" s="15"/>
      <c r="G59" s="15"/>
      <c r="H59" s="15"/>
      <c r="I59" s="15"/>
      <c r="J59" s="20">
        <f>SUM(D59:I59)</f>
        <v>748.77</v>
      </c>
      <c r="K59" s="8"/>
      <c r="L59" s="8"/>
    </row>
    <row r="60" spans="1:12" ht="15.75" thickBot="1">
      <c r="A60" s="8"/>
      <c r="B60" s="8"/>
      <c r="C60" s="8" t="s">
        <v>78</v>
      </c>
      <c r="D60" s="29">
        <v>1245.8699999999999</v>
      </c>
      <c r="E60" s="29"/>
      <c r="F60" s="28"/>
      <c r="G60" s="28"/>
      <c r="H60" s="28"/>
      <c r="I60" s="28"/>
      <c r="J60" s="29">
        <f>SUM(D60:I60)</f>
        <v>1245.8699999999999</v>
      </c>
      <c r="K60" s="8"/>
      <c r="L60" s="8"/>
    </row>
    <row r="61" spans="1:12">
      <c r="A61" s="8"/>
      <c r="B61" s="8"/>
      <c r="C61" s="8"/>
      <c r="D61" s="20"/>
      <c r="E61" s="20"/>
      <c r="F61" s="15"/>
      <c r="G61" s="15"/>
      <c r="H61" s="15"/>
      <c r="I61" s="15"/>
      <c r="J61" s="20"/>
      <c r="K61" s="8"/>
      <c r="L61" s="8"/>
    </row>
    <row r="62" spans="1:12" ht="15.75" thickBot="1">
      <c r="A62" s="8"/>
      <c r="B62" s="8"/>
      <c r="C62" s="8" t="s">
        <v>10</v>
      </c>
      <c r="D62" s="31">
        <f t="shared" ref="D62:I62" si="8">SUM(D57:D60)</f>
        <v>12207.630000000001</v>
      </c>
      <c r="E62" s="31">
        <f t="shared" si="8"/>
        <v>0</v>
      </c>
      <c r="F62" s="30">
        <f t="shared" si="8"/>
        <v>0</v>
      </c>
      <c r="G62" s="30">
        <f t="shared" si="8"/>
        <v>0</v>
      </c>
      <c r="H62" s="30">
        <f t="shared" si="8"/>
        <v>0</v>
      </c>
      <c r="I62" s="30">
        <f t="shared" si="8"/>
        <v>0</v>
      </c>
      <c r="J62" s="31">
        <f>SUM(D62:I62)</f>
        <v>12207.630000000001</v>
      </c>
      <c r="K62" s="8"/>
      <c r="L62" s="8"/>
    </row>
    <row r="63" spans="1:12" ht="15.75" thickTop="1">
      <c r="A63" s="8"/>
      <c r="B63" s="8"/>
      <c r="C63" s="8"/>
      <c r="D63" s="20"/>
      <c r="E63" s="20"/>
      <c r="F63" s="15"/>
      <c r="G63" s="15"/>
      <c r="H63" s="15"/>
      <c r="I63" s="15"/>
      <c r="J63" s="20"/>
      <c r="K63" s="8"/>
      <c r="L63" s="8"/>
    </row>
    <row r="64" spans="1:12">
      <c r="A64" s="8">
        <v>30</v>
      </c>
      <c r="B64" s="8" t="s">
        <v>23</v>
      </c>
      <c r="C64" s="8" t="s">
        <v>12</v>
      </c>
      <c r="D64" s="20">
        <v>5863.24</v>
      </c>
      <c r="E64" s="20">
        <v>44.9</v>
      </c>
      <c r="F64" s="15">
        <v>16.16</v>
      </c>
      <c r="G64" s="15">
        <v>16.11</v>
      </c>
      <c r="H64" s="15">
        <v>14.58</v>
      </c>
      <c r="I64" s="15"/>
      <c r="J64" s="20">
        <f>SUM(D64:I64)</f>
        <v>5954.9899999999989</v>
      </c>
      <c r="K64" s="8"/>
      <c r="L64" s="8"/>
    </row>
    <row r="65" spans="1:12" ht="15.75" thickBot="1">
      <c r="A65" s="8"/>
      <c r="B65" s="8"/>
      <c r="C65" s="8" t="s">
        <v>13</v>
      </c>
      <c r="D65" s="29"/>
      <c r="E65" s="29"/>
      <c r="F65" s="28"/>
      <c r="G65" s="28"/>
      <c r="H65" s="28"/>
      <c r="I65" s="28"/>
      <c r="J65" s="29"/>
      <c r="K65" s="8"/>
      <c r="L65" s="8"/>
    </row>
    <row r="66" spans="1:12">
      <c r="A66" s="8"/>
      <c r="B66" s="8"/>
      <c r="C66" s="8"/>
      <c r="D66" s="20"/>
      <c r="E66" s="20"/>
      <c r="F66" s="15"/>
      <c r="G66" s="15"/>
      <c r="H66" s="15"/>
      <c r="I66" s="15"/>
      <c r="J66" s="20"/>
      <c r="K66" s="8"/>
      <c r="L66" s="8"/>
    </row>
    <row r="67" spans="1:12" ht="15.75" thickBot="1">
      <c r="A67" s="8"/>
      <c r="B67" s="8"/>
      <c r="C67" s="15" t="s">
        <v>10</v>
      </c>
      <c r="D67" s="31">
        <f t="shared" ref="D67:I67" si="9">SUM(D64:D65)</f>
        <v>5863.24</v>
      </c>
      <c r="E67" s="31">
        <f t="shared" si="9"/>
        <v>44.9</v>
      </c>
      <c r="F67" s="30">
        <f t="shared" si="9"/>
        <v>16.16</v>
      </c>
      <c r="G67" s="30">
        <f t="shared" si="9"/>
        <v>16.11</v>
      </c>
      <c r="H67" s="30">
        <f t="shared" si="9"/>
        <v>14.58</v>
      </c>
      <c r="I67" s="30">
        <f t="shared" si="9"/>
        <v>0</v>
      </c>
      <c r="J67" s="31">
        <f>SUM(D67:I67)</f>
        <v>5954.9899999999989</v>
      </c>
      <c r="K67" s="8"/>
      <c r="L67" s="8"/>
    </row>
    <row r="68" spans="1:12" ht="15.75" thickTop="1">
      <c r="A68" s="8"/>
      <c r="B68" s="8"/>
      <c r="C68" s="8"/>
      <c r="D68" s="20"/>
      <c r="E68" s="20"/>
      <c r="F68" s="15"/>
      <c r="G68" s="15"/>
      <c r="H68" s="15"/>
      <c r="I68" s="15"/>
      <c r="J68" s="20"/>
      <c r="K68" s="8"/>
      <c r="L68" s="8"/>
    </row>
    <row r="69" spans="1:12">
      <c r="A69" s="8"/>
      <c r="B69" s="8"/>
      <c r="C69" s="8"/>
      <c r="D69" s="20"/>
      <c r="E69" s="20"/>
      <c r="F69" s="15"/>
      <c r="G69" s="15"/>
      <c r="H69" s="15"/>
      <c r="I69" s="15"/>
      <c r="J69" s="20"/>
      <c r="K69" s="8"/>
      <c r="L69" s="8"/>
    </row>
    <row r="70" spans="1:12">
      <c r="A70" s="8">
        <v>31</v>
      </c>
      <c r="B70" s="8" t="s">
        <v>24</v>
      </c>
      <c r="C70" s="8" t="s">
        <v>12</v>
      </c>
      <c r="D70" s="20">
        <v>2219.27</v>
      </c>
      <c r="E70" s="20"/>
      <c r="F70" s="15"/>
      <c r="G70" s="15"/>
      <c r="H70" s="15"/>
      <c r="I70" s="15"/>
      <c r="J70" s="20">
        <f>SUM(D70:I70)</f>
        <v>2219.27</v>
      </c>
      <c r="K70" s="8"/>
      <c r="L70" s="8"/>
    </row>
    <row r="71" spans="1:12" ht="15.75" thickBot="1">
      <c r="A71" s="8"/>
      <c r="B71" s="8"/>
      <c r="C71" s="8" t="s">
        <v>13</v>
      </c>
      <c r="D71" s="29">
        <v>82.32</v>
      </c>
      <c r="E71" s="29"/>
      <c r="F71" s="28"/>
      <c r="G71" s="28"/>
      <c r="H71" s="28"/>
      <c r="I71" s="28"/>
      <c r="J71" s="29">
        <f>SUM(D71:I71)</f>
        <v>82.32</v>
      </c>
      <c r="K71" s="8"/>
      <c r="L71" s="8"/>
    </row>
    <row r="72" spans="1:12">
      <c r="A72" s="8"/>
      <c r="B72" s="8"/>
      <c r="C72" s="8"/>
      <c r="D72" s="20"/>
      <c r="E72" s="20"/>
      <c r="F72" s="15"/>
      <c r="G72" s="15"/>
      <c r="H72" s="15"/>
      <c r="I72" s="15"/>
      <c r="J72" s="20"/>
      <c r="K72" s="8"/>
      <c r="L72" s="8"/>
    </row>
    <row r="73" spans="1:12" ht="15.75" thickBot="1">
      <c r="A73" s="8"/>
      <c r="B73" s="8"/>
      <c r="C73" s="8" t="s">
        <v>10</v>
      </c>
      <c r="D73" s="31">
        <f t="shared" ref="D73:I73" si="10">SUM(D70:D71)</f>
        <v>2301.59</v>
      </c>
      <c r="E73" s="31">
        <f t="shared" si="10"/>
        <v>0</v>
      </c>
      <c r="F73" s="30">
        <f t="shared" si="10"/>
        <v>0</v>
      </c>
      <c r="G73" s="30">
        <f t="shared" si="10"/>
        <v>0</v>
      </c>
      <c r="H73" s="30">
        <f t="shared" si="10"/>
        <v>0</v>
      </c>
      <c r="I73" s="30">
        <f t="shared" si="10"/>
        <v>0</v>
      </c>
      <c r="J73" s="31">
        <f>SUM(D73:I73)</f>
        <v>2301.59</v>
      </c>
      <c r="K73" s="8"/>
      <c r="L73" s="8"/>
    </row>
    <row r="74" spans="1:12" ht="15.75" thickTop="1">
      <c r="A74" s="8"/>
      <c r="B74" s="8"/>
      <c r="C74" s="8"/>
      <c r="D74" s="20"/>
      <c r="E74" s="20"/>
      <c r="F74" s="15"/>
      <c r="G74" s="15"/>
      <c r="H74" s="15"/>
      <c r="I74" s="15"/>
      <c r="J74" s="20"/>
      <c r="K74" s="8"/>
      <c r="L74" s="8"/>
    </row>
    <row r="75" spans="1:12">
      <c r="A75" s="8"/>
      <c r="B75" s="8"/>
      <c r="C75" s="8"/>
      <c r="D75" s="20"/>
      <c r="E75" s="20"/>
      <c r="F75" s="15"/>
      <c r="G75" s="15"/>
      <c r="H75" s="15"/>
      <c r="I75" s="15"/>
      <c r="J75" s="20"/>
      <c r="K75" s="8"/>
      <c r="L75" s="8"/>
    </row>
    <row r="76" spans="1:12">
      <c r="A76" s="8">
        <v>32</v>
      </c>
      <c r="B76" s="8" t="s">
        <v>25</v>
      </c>
      <c r="C76" s="8" t="s">
        <v>12</v>
      </c>
      <c r="D76" s="20">
        <v>12160.67</v>
      </c>
      <c r="E76" s="20">
        <v>137.83000000000001</v>
      </c>
      <c r="F76" s="15">
        <v>54.27</v>
      </c>
      <c r="G76" s="15">
        <v>47.39</v>
      </c>
      <c r="H76" s="15">
        <v>38.92</v>
      </c>
      <c r="I76" s="15"/>
      <c r="J76" s="20">
        <f>SUM(D76:I76)</f>
        <v>12439.08</v>
      </c>
      <c r="K76" s="8"/>
      <c r="L76" s="8"/>
    </row>
    <row r="77" spans="1:12">
      <c r="A77" s="8"/>
      <c r="B77" s="8"/>
      <c r="C77" s="8" t="s">
        <v>13</v>
      </c>
      <c r="D77" s="20">
        <v>235.06</v>
      </c>
      <c r="E77" s="20">
        <v>2.86</v>
      </c>
      <c r="F77" s="15">
        <v>1.26</v>
      </c>
      <c r="G77" s="15">
        <v>1.05</v>
      </c>
      <c r="H77" s="15">
        <v>0.84</v>
      </c>
      <c r="I77" s="15"/>
      <c r="J77" s="20">
        <f>SUM(D77:I77)</f>
        <v>241.07000000000002</v>
      </c>
      <c r="K77" s="8"/>
      <c r="L77" s="8"/>
    </row>
    <row r="78" spans="1:12">
      <c r="A78" s="8"/>
      <c r="B78" s="8"/>
      <c r="C78" s="8" t="s">
        <v>73</v>
      </c>
      <c r="D78" s="20"/>
      <c r="E78" s="20"/>
      <c r="F78" s="26"/>
      <c r="G78" s="8"/>
      <c r="H78" s="26"/>
      <c r="I78" s="8"/>
      <c r="J78" s="20">
        <f>SUM(D78:I78)</f>
        <v>0</v>
      </c>
      <c r="K78" s="8"/>
      <c r="L78" s="8"/>
    </row>
    <row r="79" spans="1:12" ht="15.75" thickBot="1">
      <c r="A79" s="8"/>
      <c r="B79" s="8"/>
      <c r="C79" s="8" t="s">
        <v>78</v>
      </c>
      <c r="D79" s="29"/>
      <c r="E79" s="29"/>
      <c r="F79" s="33"/>
      <c r="G79" s="27"/>
      <c r="H79" s="27"/>
      <c r="I79" s="27"/>
      <c r="J79" s="29">
        <f>SUM(D79:I79)</f>
        <v>0</v>
      </c>
      <c r="K79" s="8"/>
      <c r="L79" s="8"/>
    </row>
    <row r="80" spans="1:12">
      <c r="A80" s="8"/>
      <c r="B80" s="8"/>
      <c r="C80" s="8"/>
      <c r="D80" s="20"/>
      <c r="E80" s="20"/>
      <c r="F80" s="15"/>
      <c r="G80" s="8"/>
      <c r="H80" s="8"/>
      <c r="I80" s="8"/>
      <c r="J80" s="20"/>
      <c r="K80" s="8"/>
      <c r="L80" s="8"/>
    </row>
    <row r="81" spans="1:12" ht="15.75" thickBot="1">
      <c r="A81" s="8"/>
      <c r="B81" s="8"/>
      <c r="C81" s="8" t="s">
        <v>10</v>
      </c>
      <c r="D81" s="31">
        <f t="shared" ref="D81:I81" si="11">SUM(D76:D79)</f>
        <v>12395.73</v>
      </c>
      <c r="E81" s="31">
        <f t="shared" si="11"/>
        <v>140.69000000000003</v>
      </c>
      <c r="F81" s="30">
        <f t="shared" si="11"/>
        <v>55.53</v>
      </c>
      <c r="G81" s="30">
        <f t="shared" si="11"/>
        <v>48.44</v>
      </c>
      <c r="H81" s="30">
        <f t="shared" si="11"/>
        <v>39.760000000000005</v>
      </c>
      <c r="I81" s="30">
        <f t="shared" si="11"/>
        <v>0</v>
      </c>
      <c r="J81" s="31">
        <f>SUM(D81:I81)</f>
        <v>12680.150000000001</v>
      </c>
      <c r="K81" s="8"/>
      <c r="L81" s="8"/>
    </row>
    <row r="82" spans="1:12" ht="15.75" thickTop="1">
      <c r="A82" s="8"/>
      <c r="B82" s="8"/>
      <c r="C82" s="8"/>
      <c r="D82" s="20"/>
      <c r="E82" s="20"/>
      <c r="F82" s="15"/>
      <c r="G82" s="15"/>
      <c r="H82" s="15"/>
      <c r="I82" s="15"/>
      <c r="J82" s="20"/>
      <c r="K82" s="8"/>
      <c r="L82" s="8"/>
    </row>
    <row r="83" spans="1:12">
      <c r="A83" s="8"/>
      <c r="B83" s="8"/>
      <c r="C83" s="8"/>
      <c r="D83" s="20"/>
      <c r="E83" s="20"/>
      <c r="F83" s="15"/>
      <c r="G83" s="15"/>
      <c r="H83" s="15"/>
      <c r="I83" s="15"/>
      <c r="J83" s="20"/>
      <c r="K83" s="8"/>
      <c r="L83" s="8"/>
    </row>
    <row r="84" spans="1:12">
      <c r="A84" s="8">
        <v>33</v>
      </c>
      <c r="B84" s="8" t="s">
        <v>26</v>
      </c>
      <c r="C84" s="8" t="s">
        <v>12</v>
      </c>
      <c r="D84" s="20">
        <v>10523.43</v>
      </c>
      <c r="E84" s="20">
        <v>422.41</v>
      </c>
      <c r="F84" s="15">
        <v>257.32</v>
      </c>
      <c r="G84" s="15">
        <v>126.64</v>
      </c>
      <c r="H84" s="15"/>
      <c r="I84" s="15"/>
      <c r="J84" s="20">
        <f>SUM(D84:I84)</f>
        <v>11329.8</v>
      </c>
      <c r="K84" s="8"/>
      <c r="L84" s="8"/>
    </row>
    <row r="85" spans="1:12" ht="15.75" thickBot="1">
      <c r="A85" s="8"/>
      <c r="B85" s="8"/>
      <c r="C85" s="8" t="s">
        <v>13</v>
      </c>
      <c r="D85" s="29">
        <v>133.22999999999999</v>
      </c>
      <c r="E85" s="29">
        <v>6.81</v>
      </c>
      <c r="F85" s="28">
        <v>4.08</v>
      </c>
      <c r="G85" s="28">
        <v>2.0299999999999998</v>
      </c>
      <c r="H85" s="28"/>
      <c r="I85" s="28"/>
      <c r="J85" s="29">
        <f>SUM(D85:I85)</f>
        <v>146.15</v>
      </c>
      <c r="K85" s="8"/>
      <c r="L85" s="8"/>
    </row>
    <row r="86" spans="1:12">
      <c r="A86" s="8"/>
      <c r="B86" s="8"/>
      <c r="C86" s="8"/>
      <c r="D86" s="20"/>
      <c r="E86" s="20"/>
      <c r="F86" s="15"/>
      <c r="G86" s="15"/>
      <c r="H86" s="15"/>
      <c r="I86" s="15"/>
      <c r="J86" s="20"/>
      <c r="K86" s="8"/>
      <c r="L86" s="8"/>
    </row>
    <row r="87" spans="1:12" ht="15.75" thickBot="1">
      <c r="A87" s="8"/>
      <c r="B87" s="8"/>
      <c r="C87" s="8" t="s">
        <v>10</v>
      </c>
      <c r="D87" s="31">
        <f t="shared" ref="D87:I87" si="12">SUM(D84:D85)</f>
        <v>10656.66</v>
      </c>
      <c r="E87" s="31">
        <f t="shared" si="12"/>
        <v>429.22</v>
      </c>
      <c r="F87" s="30">
        <f t="shared" si="12"/>
        <v>261.39999999999998</v>
      </c>
      <c r="G87" s="30">
        <f t="shared" si="12"/>
        <v>128.66999999999999</v>
      </c>
      <c r="H87" s="30">
        <f t="shared" si="12"/>
        <v>0</v>
      </c>
      <c r="I87" s="30">
        <f t="shared" si="12"/>
        <v>0</v>
      </c>
      <c r="J87" s="31">
        <f>SUM(D87:I87)</f>
        <v>11475.949999999999</v>
      </c>
      <c r="K87" s="8"/>
      <c r="L87" s="8"/>
    </row>
    <row r="88" spans="1:12" ht="15.75" thickTop="1">
      <c r="A88" s="8"/>
      <c r="B88" s="8"/>
      <c r="C88" s="8"/>
      <c r="D88" s="20"/>
      <c r="E88" s="20"/>
      <c r="F88" s="15"/>
      <c r="G88" s="15"/>
      <c r="H88" s="15"/>
      <c r="I88" s="15"/>
      <c r="J88" s="20"/>
      <c r="K88" s="8"/>
      <c r="L88" s="8"/>
    </row>
    <row r="89" spans="1:12">
      <c r="A89" s="8"/>
      <c r="B89" s="8"/>
      <c r="C89" s="8"/>
      <c r="D89" s="20"/>
      <c r="E89" s="20"/>
      <c r="F89" s="15"/>
      <c r="G89" s="15"/>
      <c r="H89" s="15"/>
      <c r="I89" s="15"/>
      <c r="J89" s="20"/>
      <c r="K89" s="8"/>
      <c r="L89" s="8"/>
    </row>
    <row r="90" spans="1:12">
      <c r="A90" s="8">
        <v>34</v>
      </c>
      <c r="B90" s="8" t="s">
        <v>27</v>
      </c>
      <c r="C90" s="8" t="s">
        <v>12</v>
      </c>
      <c r="D90" s="20">
        <v>8238.93</v>
      </c>
      <c r="E90" s="20">
        <v>157.79</v>
      </c>
      <c r="F90" s="15">
        <v>159.47999999999999</v>
      </c>
      <c r="G90" s="15">
        <v>152.09</v>
      </c>
      <c r="H90" s="15">
        <v>146.4</v>
      </c>
      <c r="I90" s="15"/>
      <c r="J90" s="20">
        <f>SUM(D90:I90)</f>
        <v>8854.69</v>
      </c>
      <c r="K90" s="8"/>
      <c r="L90" s="8"/>
    </row>
    <row r="91" spans="1:12">
      <c r="A91" s="8"/>
      <c r="B91" s="8"/>
      <c r="C91" s="8" t="s">
        <v>13</v>
      </c>
      <c r="D91" s="20">
        <v>663.67</v>
      </c>
      <c r="E91" s="20">
        <v>13.01</v>
      </c>
      <c r="F91" s="15">
        <v>12.79</v>
      </c>
      <c r="G91" s="15">
        <v>12.26</v>
      </c>
      <c r="H91" s="15">
        <v>11.82</v>
      </c>
      <c r="I91" s="15"/>
      <c r="J91" s="20">
        <f>SUM(D91:I91)</f>
        <v>713.55</v>
      </c>
      <c r="K91" s="8"/>
      <c r="L91" s="8"/>
    </row>
    <row r="92" spans="1:12" ht="15.75" thickBot="1">
      <c r="A92" s="8"/>
      <c r="B92" s="8"/>
      <c r="C92" s="8" t="s">
        <v>78</v>
      </c>
      <c r="D92" s="29">
        <v>1304.52</v>
      </c>
      <c r="E92" s="29">
        <v>25.08</v>
      </c>
      <c r="F92" s="28">
        <v>25.46</v>
      </c>
      <c r="G92" s="28">
        <v>25.2</v>
      </c>
      <c r="H92" s="28">
        <v>23.63</v>
      </c>
      <c r="I92" s="28"/>
      <c r="J92" s="29">
        <f>SUM(D92:I92)</f>
        <v>1403.89</v>
      </c>
      <c r="K92" s="8"/>
      <c r="L92" s="8"/>
    </row>
    <row r="93" spans="1:12">
      <c r="A93" s="8"/>
      <c r="B93" s="8"/>
      <c r="C93" s="8"/>
      <c r="D93" s="20"/>
      <c r="E93" s="20"/>
      <c r="F93" s="15"/>
      <c r="G93" s="15"/>
      <c r="H93" s="15"/>
      <c r="I93" s="15"/>
      <c r="J93" s="20"/>
      <c r="K93" s="8"/>
      <c r="L93" s="8"/>
    </row>
    <row r="94" spans="1:12" ht="15.75" thickBot="1">
      <c r="A94" s="8"/>
      <c r="B94" s="8"/>
      <c r="C94" s="8" t="s">
        <v>10</v>
      </c>
      <c r="D94" s="31">
        <f t="shared" ref="D94:I94" si="13">SUM(D90:D93)</f>
        <v>10207.120000000001</v>
      </c>
      <c r="E94" s="31">
        <f t="shared" si="13"/>
        <v>195.88</v>
      </c>
      <c r="F94" s="30">
        <f t="shared" si="13"/>
        <v>197.73</v>
      </c>
      <c r="G94" s="30">
        <f t="shared" si="13"/>
        <v>189.54999999999998</v>
      </c>
      <c r="H94" s="30">
        <f t="shared" si="13"/>
        <v>181.85</v>
      </c>
      <c r="I94" s="30">
        <f t="shared" si="13"/>
        <v>0</v>
      </c>
      <c r="J94" s="31">
        <f>SUM(D94:I94)</f>
        <v>10972.13</v>
      </c>
      <c r="K94" s="8"/>
      <c r="L94" s="8"/>
    </row>
    <row r="95" spans="1:12" ht="15.75" thickTop="1">
      <c r="A95" s="8"/>
      <c r="B95" s="8"/>
      <c r="C95" s="8"/>
      <c r="D95" s="20"/>
      <c r="E95" s="20"/>
      <c r="F95" s="15"/>
      <c r="G95" s="15"/>
      <c r="H95" s="15"/>
      <c r="I95" s="15"/>
      <c r="J95" s="20"/>
      <c r="K95" s="8"/>
      <c r="L95" s="8"/>
    </row>
    <row r="96" spans="1:12">
      <c r="A96" s="8"/>
      <c r="B96" s="8"/>
      <c r="C96" s="8"/>
      <c r="D96" s="20"/>
      <c r="E96" s="20"/>
      <c r="F96" s="15"/>
      <c r="G96" s="15"/>
      <c r="H96" s="15"/>
      <c r="I96" s="15"/>
      <c r="J96" s="20"/>
      <c r="K96" s="8"/>
      <c r="L96" s="8"/>
    </row>
    <row r="97" spans="1:12" ht="15.75" thickBot="1">
      <c r="A97" s="8">
        <v>35</v>
      </c>
      <c r="B97" s="8" t="s">
        <v>28</v>
      </c>
      <c r="C97" s="8" t="s">
        <v>12</v>
      </c>
      <c r="D97" s="29">
        <v>5902.53</v>
      </c>
      <c r="E97" s="29">
        <v>69.33</v>
      </c>
      <c r="F97" s="28">
        <v>70.63</v>
      </c>
      <c r="G97" s="28">
        <v>71.59</v>
      </c>
      <c r="H97" s="28">
        <v>3.5</v>
      </c>
      <c r="I97" s="28"/>
      <c r="J97" s="29">
        <f>SUM(D97:I97)</f>
        <v>6117.58</v>
      </c>
      <c r="K97" s="8"/>
      <c r="L97" s="8"/>
    </row>
    <row r="98" spans="1:12">
      <c r="A98" s="8"/>
      <c r="B98" s="8"/>
      <c r="C98" s="8"/>
      <c r="D98" s="20"/>
      <c r="E98" s="20"/>
      <c r="F98" s="15"/>
      <c r="G98" s="15"/>
      <c r="H98" s="15"/>
      <c r="I98" s="15"/>
      <c r="J98" s="20"/>
      <c r="K98" s="8"/>
      <c r="L98" s="8"/>
    </row>
    <row r="99" spans="1:12" ht="15.75" thickBot="1">
      <c r="A99" s="8"/>
      <c r="B99" s="8"/>
      <c r="C99" s="8" t="s">
        <v>10</v>
      </c>
      <c r="D99" s="31">
        <f t="shared" ref="D99:I99" si="14">SUM(D97:D98)</f>
        <v>5902.53</v>
      </c>
      <c r="E99" s="31">
        <f t="shared" si="14"/>
        <v>69.33</v>
      </c>
      <c r="F99" s="30">
        <f t="shared" si="14"/>
        <v>70.63</v>
      </c>
      <c r="G99" s="30">
        <f t="shared" si="14"/>
        <v>71.59</v>
      </c>
      <c r="H99" s="30">
        <f t="shared" si="14"/>
        <v>3.5</v>
      </c>
      <c r="I99" s="30">
        <f t="shared" si="14"/>
        <v>0</v>
      </c>
      <c r="J99" s="31">
        <f>SUM(D99:I99)</f>
        <v>6117.58</v>
      </c>
      <c r="K99" s="8"/>
      <c r="L99" s="8"/>
    </row>
    <row r="100" spans="1:12" ht="15.75" thickTop="1">
      <c r="A100" s="8"/>
      <c r="B100" s="8"/>
      <c r="C100" s="8"/>
      <c r="D100" s="20"/>
      <c r="E100" s="20"/>
      <c r="F100" s="15"/>
      <c r="G100" s="15"/>
      <c r="H100" s="15"/>
      <c r="I100" s="15"/>
      <c r="J100" s="20"/>
      <c r="K100" s="8"/>
      <c r="L100" s="8"/>
    </row>
    <row r="101" spans="1:12">
      <c r="A101" s="8"/>
      <c r="B101" s="8"/>
      <c r="C101" s="8"/>
      <c r="D101" s="20"/>
      <c r="E101" s="20"/>
      <c r="F101" s="15"/>
      <c r="G101" s="15"/>
      <c r="H101" s="15"/>
      <c r="I101" s="15"/>
      <c r="J101" s="20"/>
      <c r="K101" s="8"/>
      <c r="L101" s="8"/>
    </row>
    <row r="102" spans="1:12">
      <c r="A102" s="8">
        <v>36</v>
      </c>
      <c r="B102" s="8" t="s">
        <v>29</v>
      </c>
      <c r="C102" s="8" t="s">
        <v>12</v>
      </c>
      <c r="D102" s="20">
        <v>5635.3</v>
      </c>
      <c r="E102" s="20">
        <v>99.11</v>
      </c>
      <c r="F102" s="15">
        <v>31.71</v>
      </c>
      <c r="G102" s="15">
        <v>31.93</v>
      </c>
      <c r="H102" s="15">
        <v>31.37</v>
      </c>
      <c r="I102" s="15"/>
      <c r="J102" s="20">
        <f>SUM(D102:I102)</f>
        <v>5829.42</v>
      </c>
      <c r="K102" s="8"/>
      <c r="L102" s="8"/>
    </row>
    <row r="103" spans="1:12" ht="15.75" thickBot="1">
      <c r="A103" s="8"/>
      <c r="B103" s="8"/>
      <c r="C103" s="8" t="s">
        <v>13</v>
      </c>
      <c r="D103" s="29">
        <v>427.92</v>
      </c>
      <c r="E103" s="29">
        <v>7.84</v>
      </c>
      <c r="F103" s="28">
        <v>2.4700000000000002</v>
      </c>
      <c r="G103" s="28">
        <v>2.2200000000000002</v>
      </c>
      <c r="H103" s="28">
        <v>2.2200000000000002</v>
      </c>
      <c r="I103" s="28"/>
      <c r="J103" s="29">
        <f>SUM(D103:I103)</f>
        <v>442.67000000000007</v>
      </c>
      <c r="K103" s="8"/>
      <c r="L103" s="8"/>
    </row>
    <row r="104" spans="1:12">
      <c r="A104" s="8"/>
      <c r="B104" s="8"/>
      <c r="C104" s="8"/>
      <c r="D104" s="20"/>
      <c r="E104" s="20"/>
      <c r="F104" s="15"/>
      <c r="G104" s="15"/>
      <c r="H104" s="15"/>
      <c r="I104" s="15"/>
      <c r="J104" s="20"/>
      <c r="K104" s="8"/>
      <c r="L104" s="8"/>
    </row>
    <row r="105" spans="1:12" ht="15.75" thickBot="1">
      <c r="A105" s="8"/>
      <c r="B105" s="8"/>
      <c r="C105" s="8" t="s">
        <v>10</v>
      </c>
      <c r="D105" s="31">
        <f t="shared" ref="D105:I105" si="15">SUM(D102:D103)</f>
        <v>6063.22</v>
      </c>
      <c r="E105" s="31">
        <f t="shared" si="15"/>
        <v>106.95</v>
      </c>
      <c r="F105" s="30">
        <f t="shared" si="15"/>
        <v>34.18</v>
      </c>
      <c r="G105" s="30">
        <f t="shared" si="15"/>
        <v>34.15</v>
      </c>
      <c r="H105" s="30">
        <f t="shared" si="15"/>
        <v>33.590000000000003</v>
      </c>
      <c r="I105" s="30">
        <f t="shared" si="15"/>
        <v>0</v>
      </c>
      <c r="J105" s="31">
        <f>SUM(D105:I105)</f>
        <v>6272.09</v>
      </c>
      <c r="K105" s="8"/>
      <c r="L105" s="8"/>
    </row>
    <row r="106" spans="1:12" ht="15.75" thickTop="1">
      <c r="A106" s="8"/>
      <c r="B106" s="8"/>
      <c r="C106" s="8"/>
      <c r="D106" s="20"/>
      <c r="E106" s="20"/>
      <c r="F106" s="15"/>
      <c r="G106" s="15"/>
      <c r="H106" s="15"/>
      <c r="I106" s="15"/>
      <c r="J106" s="20"/>
      <c r="K106" s="8"/>
      <c r="L106" s="8"/>
    </row>
    <row r="107" spans="1:12">
      <c r="A107" s="8"/>
      <c r="B107" s="8"/>
      <c r="C107" s="8"/>
      <c r="D107" s="20"/>
      <c r="E107" s="20"/>
      <c r="F107" s="15"/>
      <c r="G107" s="15"/>
      <c r="H107" s="15"/>
      <c r="I107" s="15"/>
      <c r="J107" s="20"/>
      <c r="K107" s="8"/>
      <c r="L107" s="8"/>
    </row>
    <row r="108" spans="1:12" ht="15.75" thickBot="1">
      <c r="A108" s="8">
        <v>37</v>
      </c>
      <c r="B108" s="8" t="s">
        <v>30</v>
      </c>
      <c r="C108" s="8" t="s">
        <v>12</v>
      </c>
      <c r="D108" s="29">
        <v>6956.72</v>
      </c>
      <c r="E108" s="29">
        <v>501.85</v>
      </c>
      <c r="F108" s="28">
        <v>471.19</v>
      </c>
      <c r="G108" s="28">
        <v>220.82</v>
      </c>
      <c r="H108" s="28">
        <v>127.55</v>
      </c>
      <c r="I108" s="28"/>
      <c r="J108" s="29">
        <f>SUM(D108:I108)</f>
        <v>8278.1299999999992</v>
      </c>
      <c r="K108" s="8"/>
      <c r="L108" s="8"/>
    </row>
    <row r="109" spans="1:12">
      <c r="A109" s="8"/>
      <c r="B109" s="8"/>
      <c r="C109" s="8"/>
      <c r="D109" s="20"/>
      <c r="E109" s="20"/>
      <c r="F109" s="15"/>
      <c r="G109" s="15"/>
      <c r="H109" s="15"/>
      <c r="I109" s="15"/>
      <c r="J109" s="20"/>
      <c r="K109" s="8"/>
      <c r="L109" s="8"/>
    </row>
    <row r="110" spans="1:12" ht="15.75" thickBot="1">
      <c r="A110" s="8"/>
      <c r="B110" s="8"/>
      <c r="C110" s="8" t="s">
        <v>10</v>
      </c>
      <c r="D110" s="31">
        <f t="shared" ref="D110:I110" si="16">SUM(D108:D109)</f>
        <v>6956.72</v>
      </c>
      <c r="E110" s="31">
        <f t="shared" si="16"/>
        <v>501.85</v>
      </c>
      <c r="F110" s="30">
        <f t="shared" si="16"/>
        <v>471.19</v>
      </c>
      <c r="G110" s="30">
        <f t="shared" si="16"/>
        <v>220.82</v>
      </c>
      <c r="H110" s="30">
        <f t="shared" si="16"/>
        <v>127.55</v>
      </c>
      <c r="I110" s="30">
        <f t="shared" si="16"/>
        <v>0</v>
      </c>
      <c r="J110" s="31">
        <f>SUM(D110:I110)</f>
        <v>8278.1299999999992</v>
      </c>
      <c r="K110" s="8"/>
      <c r="L110" s="8"/>
    </row>
    <row r="111" spans="1:12" ht="15.75" thickTop="1">
      <c r="A111" s="8"/>
      <c r="B111" s="8"/>
      <c r="C111" s="8"/>
      <c r="D111" s="20"/>
      <c r="E111" s="20"/>
      <c r="F111" s="15"/>
      <c r="G111" s="15"/>
      <c r="H111" s="15"/>
      <c r="I111" s="15"/>
      <c r="J111" s="20"/>
      <c r="K111" s="8"/>
      <c r="L111" s="8"/>
    </row>
    <row r="112" spans="1:12">
      <c r="A112" s="8"/>
      <c r="B112" s="8"/>
      <c r="C112" s="8"/>
      <c r="D112" s="20"/>
      <c r="E112" s="20"/>
      <c r="F112" s="15"/>
      <c r="G112" s="15"/>
      <c r="H112" s="15"/>
      <c r="I112" s="15"/>
      <c r="J112" s="20"/>
      <c r="K112" s="8"/>
      <c r="L112" s="8"/>
    </row>
    <row r="113" spans="1:12">
      <c r="A113" s="8">
        <v>38</v>
      </c>
      <c r="B113" s="8" t="s">
        <v>31</v>
      </c>
      <c r="C113" s="8" t="s">
        <v>12</v>
      </c>
      <c r="D113" s="20">
        <v>6033.22</v>
      </c>
      <c r="E113" s="20">
        <v>209.05</v>
      </c>
      <c r="F113" s="15"/>
      <c r="G113" s="15"/>
      <c r="H113" s="15"/>
      <c r="I113" s="15"/>
      <c r="J113" s="20">
        <f>SUM(D113:I113)</f>
        <v>6242.27</v>
      </c>
      <c r="K113" s="8"/>
      <c r="L113" s="8"/>
    </row>
    <row r="114" spans="1:12">
      <c r="A114" s="8"/>
      <c r="B114" s="8"/>
      <c r="C114" s="8" t="s">
        <v>35</v>
      </c>
      <c r="D114" s="20">
        <v>783.13</v>
      </c>
      <c r="E114" s="20">
        <v>26.92</v>
      </c>
      <c r="F114" s="15"/>
      <c r="G114" s="15"/>
      <c r="H114" s="15"/>
      <c r="I114" s="15"/>
      <c r="J114" s="20">
        <f>SUM(D114:I114)</f>
        <v>810.05</v>
      </c>
      <c r="K114" s="8"/>
      <c r="L114" s="8"/>
    </row>
    <row r="115" spans="1:12">
      <c r="A115" s="8"/>
      <c r="B115" s="8"/>
      <c r="C115" s="8" t="s">
        <v>13</v>
      </c>
      <c r="D115" s="20">
        <v>625.54999999999995</v>
      </c>
      <c r="E115" s="20">
        <v>22.13</v>
      </c>
      <c r="F115" s="15"/>
      <c r="G115" s="15"/>
      <c r="H115" s="15"/>
      <c r="I115" s="15"/>
      <c r="J115" s="20">
        <f>SUM(D115:I115)</f>
        <v>647.67999999999995</v>
      </c>
      <c r="K115" s="8"/>
      <c r="L115" s="8"/>
    </row>
    <row r="116" spans="1:12" ht="15.75" thickBot="1">
      <c r="A116" s="8"/>
      <c r="B116" s="8"/>
      <c r="C116" s="8" t="s">
        <v>78</v>
      </c>
      <c r="D116" s="29">
        <v>1207.55</v>
      </c>
      <c r="E116" s="29">
        <v>41.9</v>
      </c>
      <c r="F116" s="28"/>
      <c r="G116" s="28"/>
      <c r="H116" s="28"/>
      <c r="I116" s="28"/>
      <c r="J116" s="29">
        <f>SUM(D116:I116)</f>
        <v>1249.45</v>
      </c>
      <c r="K116" s="8"/>
      <c r="L116" s="8"/>
    </row>
    <row r="117" spans="1:12">
      <c r="A117" s="8"/>
      <c r="B117" s="8"/>
      <c r="C117" s="8"/>
      <c r="D117" s="20"/>
      <c r="E117" s="20"/>
      <c r="F117" s="15"/>
      <c r="G117" s="15"/>
      <c r="H117" s="15"/>
      <c r="I117" s="15"/>
      <c r="J117" s="20"/>
      <c r="K117" s="8"/>
      <c r="L117" s="8"/>
    </row>
    <row r="118" spans="1:12" ht="15.75" thickBot="1">
      <c r="A118" s="8"/>
      <c r="B118" s="8"/>
      <c r="C118" s="8" t="s">
        <v>10</v>
      </c>
      <c r="D118" s="31">
        <f t="shared" ref="D118:I118" si="17">SUM(D113:D116)</f>
        <v>8649.4500000000007</v>
      </c>
      <c r="E118" s="31">
        <f t="shared" si="17"/>
        <v>300</v>
      </c>
      <c r="F118" s="30">
        <f t="shared" si="17"/>
        <v>0</v>
      </c>
      <c r="G118" s="30">
        <f t="shared" si="17"/>
        <v>0</v>
      </c>
      <c r="H118" s="30">
        <f t="shared" si="17"/>
        <v>0</v>
      </c>
      <c r="I118" s="30">
        <f t="shared" si="17"/>
        <v>0</v>
      </c>
      <c r="J118" s="31">
        <f>SUM(D118:I118)</f>
        <v>8949.4500000000007</v>
      </c>
      <c r="K118" s="8"/>
      <c r="L118" s="8"/>
    </row>
    <row r="119" spans="1:12" ht="15.75" thickTop="1">
      <c r="A119" s="8"/>
      <c r="B119" s="8"/>
      <c r="C119" s="8"/>
      <c r="D119" s="20"/>
      <c r="E119" s="20"/>
      <c r="F119" s="15"/>
      <c r="G119" s="15"/>
      <c r="H119" s="15"/>
      <c r="I119" s="15"/>
      <c r="J119" s="20"/>
      <c r="K119" s="8"/>
      <c r="L119" s="8"/>
    </row>
    <row r="120" spans="1:12">
      <c r="A120" s="8"/>
      <c r="B120" s="8"/>
      <c r="C120" s="8"/>
      <c r="D120" s="20"/>
      <c r="E120" s="20"/>
      <c r="F120" s="15"/>
      <c r="G120" s="15"/>
      <c r="H120" s="15"/>
      <c r="I120" s="15"/>
      <c r="J120" s="20"/>
      <c r="K120" s="8"/>
      <c r="L120" s="8"/>
    </row>
    <row r="121" spans="1:12" ht="15.75" thickBot="1">
      <c r="A121" s="8">
        <v>39</v>
      </c>
      <c r="B121" s="8" t="s">
        <v>32</v>
      </c>
      <c r="C121" s="8" t="s">
        <v>12</v>
      </c>
      <c r="D121" s="29"/>
      <c r="E121" s="29">
        <v>0</v>
      </c>
      <c r="F121" s="28">
        <v>0</v>
      </c>
      <c r="G121" s="28">
        <v>0</v>
      </c>
      <c r="H121" s="28">
        <v>0</v>
      </c>
      <c r="I121" s="28">
        <v>0</v>
      </c>
      <c r="J121" s="29">
        <f>SUM(D121:I121)</f>
        <v>0</v>
      </c>
      <c r="K121" s="8"/>
      <c r="L121" s="8"/>
    </row>
    <row r="122" spans="1:12">
      <c r="A122" s="8"/>
      <c r="B122" s="8"/>
      <c r="C122" s="8"/>
      <c r="D122" s="20"/>
      <c r="E122" s="20"/>
      <c r="F122" s="15"/>
      <c r="G122" s="15"/>
      <c r="H122" s="15"/>
      <c r="I122" s="15"/>
      <c r="J122" s="20"/>
      <c r="K122" s="8"/>
      <c r="L122" s="8"/>
    </row>
    <row r="123" spans="1:12" ht="15.75" thickBot="1">
      <c r="A123" s="8"/>
      <c r="B123" s="8"/>
      <c r="C123" s="8" t="s">
        <v>10</v>
      </c>
      <c r="D123" s="31">
        <f t="shared" ref="D123:J123" si="18">D121</f>
        <v>0</v>
      </c>
      <c r="E123" s="31">
        <f t="shared" si="18"/>
        <v>0</v>
      </c>
      <c r="F123" s="30">
        <f t="shared" si="18"/>
        <v>0</v>
      </c>
      <c r="G123" s="30">
        <f t="shared" si="18"/>
        <v>0</v>
      </c>
      <c r="H123" s="30">
        <f t="shared" si="18"/>
        <v>0</v>
      </c>
      <c r="I123" s="30">
        <f t="shared" si="18"/>
        <v>0</v>
      </c>
      <c r="J123" s="30">
        <f t="shared" si="18"/>
        <v>0</v>
      </c>
      <c r="K123" s="8"/>
      <c r="L123" s="8"/>
    </row>
    <row r="124" spans="1:12" ht="15.75" thickTop="1">
      <c r="A124" s="8"/>
      <c r="B124" s="8"/>
      <c r="C124" s="8"/>
      <c r="D124" s="20"/>
      <c r="E124" s="20"/>
      <c r="F124" s="15"/>
      <c r="G124" s="15"/>
      <c r="H124" s="15"/>
      <c r="I124" s="15"/>
      <c r="J124" s="20"/>
      <c r="K124" s="8"/>
      <c r="L124" s="8"/>
    </row>
    <row r="125" spans="1:12">
      <c r="A125" s="8"/>
      <c r="B125" s="8"/>
      <c r="C125" s="8"/>
      <c r="D125" s="20"/>
      <c r="E125" s="20"/>
      <c r="F125" s="15"/>
      <c r="G125" s="15"/>
      <c r="H125" s="15"/>
      <c r="I125" s="15"/>
      <c r="J125" s="20"/>
      <c r="K125" s="8"/>
      <c r="L125" s="8"/>
    </row>
    <row r="126" spans="1:12" ht="15.75" thickBot="1">
      <c r="A126" s="8">
        <v>40</v>
      </c>
      <c r="B126" s="8" t="s">
        <v>33</v>
      </c>
      <c r="C126" s="8" t="s">
        <v>12</v>
      </c>
      <c r="D126" s="29">
        <v>7273.16</v>
      </c>
      <c r="E126" s="29">
        <v>242.85</v>
      </c>
      <c r="F126" s="28">
        <v>97.38</v>
      </c>
      <c r="G126" s="28"/>
      <c r="H126" s="28"/>
      <c r="I126" s="28"/>
      <c r="J126" s="29">
        <f>SUM(D126:I126)</f>
        <v>7613.39</v>
      </c>
      <c r="K126" s="8"/>
      <c r="L126" s="8"/>
    </row>
    <row r="127" spans="1:12">
      <c r="A127" s="8"/>
      <c r="B127" s="8"/>
      <c r="C127" s="8"/>
      <c r="D127" s="20"/>
      <c r="E127" s="20"/>
      <c r="F127" s="15"/>
      <c r="G127" s="15"/>
      <c r="H127" s="15"/>
      <c r="I127" s="15"/>
      <c r="J127" s="20"/>
      <c r="K127" s="8"/>
      <c r="L127" s="8"/>
    </row>
    <row r="128" spans="1:12" ht="15.75" thickBot="1">
      <c r="A128" s="8"/>
      <c r="B128" s="8"/>
      <c r="C128" s="8" t="s">
        <v>10</v>
      </c>
      <c r="D128" s="31">
        <f t="shared" ref="D128:I128" si="19">SUM(D126:D127)</f>
        <v>7273.16</v>
      </c>
      <c r="E128" s="31">
        <f t="shared" si="19"/>
        <v>242.85</v>
      </c>
      <c r="F128" s="30">
        <f t="shared" si="19"/>
        <v>97.38</v>
      </c>
      <c r="G128" s="30">
        <f t="shared" si="19"/>
        <v>0</v>
      </c>
      <c r="H128" s="30">
        <f t="shared" si="19"/>
        <v>0</v>
      </c>
      <c r="I128" s="30">
        <f t="shared" si="19"/>
        <v>0</v>
      </c>
      <c r="J128" s="31">
        <f>SUM(D128:I128)</f>
        <v>7613.39</v>
      </c>
      <c r="K128" s="8"/>
      <c r="L128" s="8"/>
    </row>
    <row r="129" spans="1:12" ht="15.75" thickTop="1">
      <c r="A129" s="8"/>
      <c r="B129" s="8"/>
      <c r="C129" s="8"/>
      <c r="D129" s="20"/>
      <c r="E129" s="20"/>
      <c r="F129" s="15"/>
      <c r="G129" s="15"/>
      <c r="H129" s="15"/>
      <c r="I129" s="15"/>
      <c r="J129" s="20"/>
      <c r="K129" s="8"/>
      <c r="L129" s="8"/>
    </row>
    <row r="130" spans="1:12">
      <c r="A130" s="8"/>
      <c r="B130" s="8"/>
      <c r="C130" s="8"/>
      <c r="D130" s="20"/>
      <c r="E130" s="20"/>
      <c r="F130" s="15"/>
      <c r="G130" s="15"/>
      <c r="H130" s="15"/>
      <c r="I130" s="15"/>
      <c r="J130" s="20"/>
      <c r="K130" s="8"/>
      <c r="L130" s="8"/>
    </row>
    <row r="131" spans="1:12">
      <c r="A131" s="8">
        <v>41</v>
      </c>
      <c r="B131" s="8" t="s">
        <v>34</v>
      </c>
      <c r="C131" s="8" t="s">
        <v>12</v>
      </c>
      <c r="D131" s="20">
        <v>6296.48</v>
      </c>
      <c r="E131" s="20"/>
      <c r="F131" s="15"/>
      <c r="G131" s="15"/>
      <c r="H131" s="15"/>
      <c r="I131" s="15"/>
      <c r="J131" s="20">
        <f>SUM(D131:I131)</f>
        <v>6296.48</v>
      </c>
      <c r="K131" s="8"/>
      <c r="L131" s="8"/>
    </row>
    <row r="132" spans="1:12" ht="15.75" thickBot="1">
      <c r="A132" s="8"/>
      <c r="B132" s="8"/>
      <c r="C132" s="8" t="s">
        <v>35</v>
      </c>
      <c r="D132" s="29">
        <v>297.45999999999998</v>
      </c>
      <c r="E132" s="29"/>
      <c r="F132" s="28"/>
      <c r="G132" s="28"/>
      <c r="H132" s="28"/>
      <c r="I132" s="28"/>
      <c r="J132" s="29">
        <f>SUM(D132:I132)</f>
        <v>297.45999999999998</v>
      </c>
      <c r="K132" s="8"/>
      <c r="L132" s="8"/>
    </row>
    <row r="133" spans="1:12">
      <c r="A133" s="8"/>
      <c r="B133" s="8"/>
      <c r="C133" s="8"/>
      <c r="D133" s="20"/>
      <c r="E133" s="20"/>
      <c r="F133" s="15"/>
      <c r="G133" s="15"/>
      <c r="H133" s="15"/>
      <c r="I133" s="15"/>
      <c r="J133" s="20"/>
      <c r="K133" s="8"/>
      <c r="L133" s="8"/>
    </row>
    <row r="134" spans="1:12" ht="15.75" thickBot="1">
      <c r="A134" s="8"/>
      <c r="B134" s="8"/>
      <c r="C134" s="8" t="s">
        <v>10</v>
      </c>
      <c r="D134" s="31">
        <f t="shared" ref="D134:I134" si="20">SUM(D131:D132)</f>
        <v>6593.94</v>
      </c>
      <c r="E134" s="31">
        <f t="shared" si="20"/>
        <v>0</v>
      </c>
      <c r="F134" s="30">
        <f t="shared" si="20"/>
        <v>0</v>
      </c>
      <c r="G134" s="30">
        <f t="shared" si="20"/>
        <v>0</v>
      </c>
      <c r="H134" s="30">
        <f t="shared" si="20"/>
        <v>0</v>
      </c>
      <c r="I134" s="30">
        <f t="shared" si="20"/>
        <v>0</v>
      </c>
      <c r="J134" s="31">
        <f>SUM(D134:I134)</f>
        <v>6593.94</v>
      </c>
      <c r="K134" s="8"/>
      <c r="L134" s="8"/>
    </row>
    <row r="135" spans="1:12" ht="15.75" thickTop="1">
      <c r="A135" s="8"/>
      <c r="B135" s="8"/>
      <c r="C135" s="8"/>
      <c r="D135" s="20"/>
      <c r="E135" s="20"/>
      <c r="F135" s="15"/>
      <c r="G135" s="15"/>
      <c r="H135" s="15"/>
      <c r="I135" s="15"/>
      <c r="J135" s="20"/>
      <c r="K135" s="8"/>
      <c r="L135" s="8"/>
    </row>
    <row r="136" spans="1:12">
      <c r="A136" s="8"/>
      <c r="B136" s="8"/>
      <c r="C136" s="8"/>
      <c r="D136" s="20"/>
      <c r="E136" s="20"/>
      <c r="F136" s="15"/>
      <c r="G136" s="15"/>
      <c r="H136" s="15"/>
      <c r="I136" s="15"/>
      <c r="J136" s="20"/>
      <c r="K136" s="8"/>
      <c r="L136" s="8"/>
    </row>
    <row r="137" spans="1:12">
      <c r="A137" s="8">
        <v>42</v>
      </c>
      <c r="B137" s="8" t="s">
        <v>36</v>
      </c>
      <c r="C137" s="8" t="s">
        <v>12</v>
      </c>
      <c r="D137" s="20">
        <v>9652.82</v>
      </c>
      <c r="E137" s="20">
        <v>281.72000000000003</v>
      </c>
      <c r="F137" s="15"/>
      <c r="G137" s="15"/>
      <c r="H137" s="15"/>
      <c r="I137" s="15"/>
      <c r="J137" s="20">
        <f>SUM(D137:I137)</f>
        <v>9934.5399999999991</v>
      </c>
      <c r="K137" s="8"/>
      <c r="L137" s="8"/>
    </row>
    <row r="138" spans="1:12" ht="15.75" thickBot="1">
      <c r="A138" s="8"/>
      <c r="B138" s="8"/>
      <c r="C138" s="8" t="s">
        <v>13</v>
      </c>
      <c r="D138" s="29">
        <v>339.9</v>
      </c>
      <c r="E138" s="29">
        <v>13.88</v>
      </c>
      <c r="F138" s="28"/>
      <c r="G138" s="28"/>
      <c r="H138" s="28"/>
      <c r="I138" s="28"/>
      <c r="J138" s="29">
        <f>SUM(D138:I138)</f>
        <v>353.78</v>
      </c>
      <c r="K138" s="8"/>
      <c r="L138" s="8"/>
    </row>
    <row r="139" spans="1:12">
      <c r="A139" s="8"/>
      <c r="B139" s="8"/>
      <c r="C139" s="8"/>
      <c r="D139" s="20"/>
      <c r="E139" s="20"/>
      <c r="F139" s="15"/>
      <c r="G139" s="15"/>
      <c r="H139" s="15"/>
      <c r="I139" s="15"/>
      <c r="J139" s="20"/>
      <c r="K139" s="8"/>
      <c r="L139" s="8"/>
    </row>
    <row r="140" spans="1:12" ht="15.75" thickBot="1">
      <c r="A140" s="8"/>
      <c r="B140" s="8"/>
      <c r="C140" s="8" t="s">
        <v>10</v>
      </c>
      <c r="D140" s="31">
        <f t="shared" ref="D140:I140" si="21">SUM(D137:D138)</f>
        <v>9992.7199999999993</v>
      </c>
      <c r="E140" s="31">
        <f t="shared" si="21"/>
        <v>295.60000000000002</v>
      </c>
      <c r="F140" s="30">
        <f t="shared" si="21"/>
        <v>0</v>
      </c>
      <c r="G140" s="30">
        <f t="shared" si="21"/>
        <v>0</v>
      </c>
      <c r="H140" s="30">
        <f t="shared" si="21"/>
        <v>0</v>
      </c>
      <c r="I140" s="30">
        <f t="shared" si="21"/>
        <v>0</v>
      </c>
      <c r="J140" s="31">
        <f>SUM(D140:I140)</f>
        <v>10288.32</v>
      </c>
      <c r="K140" s="8"/>
      <c r="L140" s="8"/>
    </row>
    <row r="141" spans="1:12" ht="15.75" thickTop="1">
      <c r="A141" s="8"/>
      <c r="B141" s="8"/>
      <c r="C141" s="8"/>
      <c r="D141" s="20"/>
      <c r="E141" s="20"/>
      <c r="F141" s="15"/>
      <c r="G141" s="15"/>
      <c r="H141" s="15"/>
      <c r="I141" s="15"/>
      <c r="J141" s="20"/>
      <c r="K141" s="8"/>
      <c r="L141" s="8"/>
    </row>
    <row r="142" spans="1:12">
      <c r="A142" s="8"/>
      <c r="B142" s="8"/>
      <c r="C142" s="8"/>
      <c r="D142" s="20"/>
      <c r="E142" s="20"/>
      <c r="F142" s="15"/>
      <c r="G142" s="15"/>
      <c r="H142" s="15"/>
      <c r="I142" s="15"/>
      <c r="J142" s="20"/>
      <c r="K142" s="8"/>
      <c r="L142" s="8"/>
    </row>
    <row r="143" spans="1:12">
      <c r="A143" s="8">
        <v>43</v>
      </c>
      <c r="B143" s="8" t="s">
        <v>37</v>
      </c>
      <c r="C143" s="8" t="s">
        <v>12</v>
      </c>
      <c r="D143" s="20">
        <v>6936.85</v>
      </c>
      <c r="E143" s="20">
        <v>68.28</v>
      </c>
      <c r="F143" s="15"/>
      <c r="G143" s="15"/>
      <c r="H143" s="15"/>
      <c r="I143" s="15"/>
      <c r="J143" s="20">
        <f>SUM(D143:I143)</f>
        <v>7005.13</v>
      </c>
      <c r="K143" s="8"/>
      <c r="L143" s="8"/>
    </row>
    <row r="144" spans="1:12">
      <c r="A144" s="8"/>
      <c r="B144" s="8"/>
      <c r="C144" s="8" t="s">
        <v>35</v>
      </c>
      <c r="D144" s="20">
        <v>385.53</v>
      </c>
      <c r="E144" s="20">
        <v>3.69</v>
      </c>
      <c r="F144" s="15"/>
      <c r="G144" s="15"/>
      <c r="H144" s="15"/>
      <c r="I144" s="15"/>
      <c r="J144" s="20">
        <f>SUM(D144:I144)</f>
        <v>389.21999999999997</v>
      </c>
      <c r="K144" s="8"/>
      <c r="L144" s="8"/>
    </row>
    <row r="145" spans="1:12">
      <c r="A145" s="8"/>
      <c r="B145" s="8"/>
      <c r="C145" s="8" t="s">
        <v>13</v>
      </c>
      <c r="D145" s="20">
        <v>567.29</v>
      </c>
      <c r="E145" s="20">
        <v>5.75</v>
      </c>
      <c r="F145" s="15"/>
      <c r="G145" s="15"/>
      <c r="H145" s="15"/>
      <c r="I145" s="15"/>
      <c r="J145" s="20">
        <f>SUM(D145:I145)</f>
        <v>573.04</v>
      </c>
      <c r="K145" s="8"/>
      <c r="L145" s="8"/>
    </row>
    <row r="146" spans="1:12" ht="15.75" thickBot="1">
      <c r="A146" s="8"/>
      <c r="B146" s="8"/>
      <c r="C146" s="8" t="s">
        <v>78</v>
      </c>
      <c r="D146" s="29">
        <v>1157.53</v>
      </c>
      <c r="E146" s="29">
        <v>11.36</v>
      </c>
      <c r="F146" s="28"/>
      <c r="G146" s="28"/>
      <c r="H146" s="28"/>
      <c r="I146" s="28"/>
      <c r="J146" s="29">
        <f>SUM(D146:I146)</f>
        <v>1168.8899999999999</v>
      </c>
      <c r="K146" s="8"/>
      <c r="L146" s="8"/>
    </row>
    <row r="147" spans="1:12">
      <c r="A147" s="8"/>
      <c r="B147" s="8"/>
      <c r="C147" s="8"/>
      <c r="D147" s="20"/>
      <c r="E147" s="20"/>
      <c r="F147" s="15"/>
      <c r="G147" s="15"/>
      <c r="H147" s="15"/>
      <c r="I147" s="15"/>
      <c r="J147" s="20"/>
      <c r="K147" s="8"/>
      <c r="L147" s="8"/>
    </row>
    <row r="148" spans="1:12" ht="15.75" thickBot="1">
      <c r="A148" s="8"/>
      <c r="B148" s="8"/>
      <c r="C148" s="8" t="s">
        <v>10</v>
      </c>
      <c r="D148" s="31">
        <f t="shared" ref="D148:I148" si="22">SUM(D143:D146)</f>
        <v>9047.2000000000007</v>
      </c>
      <c r="E148" s="31">
        <f t="shared" si="22"/>
        <v>89.08</v>
      </c>
      <c r="F148" s="30">
        <f t="shared" si="22"/>
        <v>0</v>
      </c>
      <c r="G148" s="30">
        <f t="shared" si="22"/>
        <v>0</v>
      </c>
      <c r="H148" s="30">
        <f t="shared" si="22"/>
        <v>0</v>
      </c>
      <c r="I148" s="30">
        <f t="shared" si="22"/>
        <v>0</v>
      </c>
      <c r="J148" s="31">
        <f>SUM(D148:I148)</f>
        <v>9136.2800000000007</v>
      </c>
      <c r="K148" s="8"/>
      <c r="L148" s="8"/>
    </row>
    <row r="149" spans="1:12" ht="15.75" thickTop="1">
      <c r="A149" s="8"/>
      <c r="B149" s="8"/>
      <c r="C149" s="8"/>
      <c r="D149" s="20"/>
      <c r="E149" s="20"/>
      <c r="F149" s="15"/>
      <c r="G149" s="15"/>
      <c r="H149" s="15"/>
      <c r="I149" s="15"/>
      <c r="J149" s="20"/>
      <c r="K149" s="8"/>
      <c r="L149" s="8"/>
    </row>
    <row r="150" spans="1:12">
      <c r="A150" s="8"/>
      <c r="B150" s="8"/>
      <c r="C150" s="8"/>
      <c r="D150" s="20"/>
      <c r="E150" s="20"/>
      <c r="F150" s="15"/>
      <c r="G150" s="15"/>
      <c r="H150" s="15"/>
      <c r="I150" s="15"/>
      <c r="J150" s="20"/>
      <c r="K150" s="8"/>
      <c r="L150" s="8"/>
    </row>
    <row r="151" spans="1:12" ht="15.75" thickBot="1">
      <c r="A151" s="8">
        <v>44</v>
      </c>
      <c r="B151" s="8" t="s">
        <v>38</v>
      </c>
      <c r="C151" s="8" t="s">
        <v>12</v>
      </c>
      <c r="D151" s="29">
        <v>10950.99</v>
      </c>
      <c r="E151" s="29">
        <v>234.79</v>
      </c>
      <c r="F151" s="28">
        <v>94.08</v>
      </c>
      <c r="G151" s="28">
        <v>91.6</v>
      </c>
      <c r="H151" s="28">
        <v>86.78</v>
      </c>
      <c r="I151" s="28"/>
      <c r="J151" s="29">
        <f>SUM(D151:I151)</f>
        <v>11458.240000000002</v>
      </c>
      <c r="K151" s="8"/>
      <c r="L151" s="8"/>
    </row>
    <row r="152" spans="1:12">
      <c r="A152" s="8"/>
      <c r="B152" s="8"/>
      <c r="C152" s="8"/>
      <c r="D152" s="20"/>
      <c r="E152" s="20"/>
      <c r="F152" s="15"/>
      <c r="G152" s="15"/>
      <c r="H152" s="15"/>
      <c r="I152" s="15"/>
      <c r="J152" s="20"/>
      <c r="K152" s="8"/>
      <c r="L152" s="8"/>
    </row>
    <row r="153" spans="1:12" ht="15.75" thickBot="1">
      <c r="A153" s="8"/>
      <c r="B153" s="8"/>
      <c r="C153" s="8" t="s">
        <v>10</v>
      </c>
      <c r="D153" s="31">
        <f t="shared" ref="D153:I153" si="23">SUM(D151:D152)</f>
        <v>10950.99</v>
      </c>
      <c r="E153" s="31">
        <f t="shared" si="23"/>
        <v>234.79</v>
      </c>
      <c r="F153" s="30">
        <f t="shared" si="23"/>
        <v>94.08</v>
      </c>
      <c r="G153" s="30">
        <f t="shared" si="23"/>
        <v>91.6</v>
      </c>
      <c r="H153" s="30">
        <f t="shared" si="23"/>
        <v>86.78</v>
      </c>
      <c r="I153" s="30">
        <f t="shared" si="23"/>
        <v>0</v>
      </c>
      <c r="J153" s="31">
        <f>SUM(D153:I153)</f>
        <v>11458.240000000002</v>
      </c>
      <c r="K153" s="8"/>
      <c r="L153" s="8"/>
    </row>
    <row r="154" spans="1:12" ht="15.75" thickTop="1">
      <c r="A154" s="8"/>
      <c r="B154" s="8"/>
      <c r="C154" s="8"/>
      <c r="D154" s="20"/>
      <c r="E154" s="20"/>
      <c r="F154" s="15"/>
      <c r="G154" s="15" t="s">
        <v>70</v>
      </c>
      <c r="H154" s="15" t="s">
        <v>70</v>
      </c>
      <c r="I154" s="15" t="s">
        <v>70</v>
      </c>
      <c r="J154" s="20"/>
      <c r="K154" s="8"/>
      <c r="L154" s="8"/>
    </row>
    <row r="155" spans="1:12">
      <c r="A155" s="8"/>
      <c r="B155" s="8"/>
      <c r="C155" s="8"/>
      <c r="D155" s="20"/>
      <c r="E155" s="20"/>
      <c r="F155" s="15"/>
      <c r="G155" s="15"/>
      <c r="H155" s="15"/>
      <c r="I155" s="15"/>
      <c r="J155" s="20"/>
      <c r="K155" s="8"/>
      <c r="L155" s="8"/>
    </row>
    <row r="156" spans="1:12" ht="15.75" thickBot="1">
      <c r="A156" s="8">
        <v>45</v>
      </c>
      <c r="B156" s="8" t="s">
        <v>39</v>
      </c>
      <c r="C156" s="8" t="s">
        <v>12</v>
      </c>
      <c r="D156" s="29">
        <v>5706.85</v>
      </c>
      <c r="E156" s="29">
        <v>88.35</v>
      </c>
      <c r="F156" s="28">
        <v>77.73</v>
      </c>
      <c r="G156" s="28">
        <v>78.2</v>
      </c>
      <c r="H156" s="28">
        <v>1.2</v>
      </c>
      <c r="I156" s="28"/>
      <c r="J156" s="29">
        <f>SUM(D156:I156)</f>
        <v>5952.33</v>
      </c>
      <c r="K156" s="8"/>
      <c r="L156" s="8"/>
    </row>
    <row r="157" spans="1:12">
      <c r="A157" s="8"/>
      <c r="B157" s="8"/>
      <c r="C157" s="8"/>
      <c r="D157" s="20"/>
      <c r="E157" s="20"/>
      <c r="F157" s="15"/>
      <c r="G157" s="15"/>
      <c r="H157" s="15"/>
      <c r="I157" s="15"/>
      <c r="J157" s="20"/>
      <c r="K157" s="8"/>
      <c r="L157" s="8"/>
    </row>
    <row r="158" spans="1:12" ht="15.75" thickBot="1">
      <c r="A158" s="8"/>
      <c r="B158" s="8"/>
      <c r="C158" s="8" t="s">
        <v>10</v>
      </c>
      <c r="D158" s="31">
        <f t="shared" ref="D158:I158" si="24">SUM(D156:D157)</f>
        <v>5706.85</v>
      </c>
      <c r="E158" s="31">
        <f t="shared" si="24"/>
        <v>88.35</v>
      </c>
      <c r="F158" s="30">
        <f t="shared" si="24"/>
        <v>77.73</v>
      </c>
      <c r="G158" s="30">
        <f t="shared" si="24"/>
        <v>78.2</v>
      </c>
      <c r="H158" s="30">
        <f t="shared" si="24"/>
        <v>1.2</v>
      </c>
      <c r="I158" s="30">
        <f t="shared" si="24"/>
        <v>0</v>
      </c>
      <c r="J158" s="31">
        <f>SUM(D158:I158)</f>
        <v>5952.33</v>
      </c>
      <c r="K158" s="8"/>
      <c r="L158" s="8"/>
    </row>
    <row r="159" spans="1:12" ht="15.75" thickTop="1">
      <c r="A159" s="8"/>
      <c r="B159" s="8"/>
      <c r="C159" s="8"/>
      <c r="D159" s="20"/>
      <c r="E159" s="20"/>
      <c r="F159" s="15"/>
      <c r="G159" s="15"/>
      <c r="H159" s="15"/>
      <c r="I159" s="15"/>
      <c r="J159" s="20"/>
      <c r="K159" s="8"/>
      <c r="L159" s="8"/>
    </row>
    <row r="160" spans="1:12">
      <c r="A160" s="8"/>
      <c r="B160" s="8"/>
      <c r="C160" s="8"/>
      <c r="D160" s="20"/>
      <c r="E160" s="20"/>
      <c r="F160" s="15"/>
      <c r="G160" s="15"/>
      <c r="H160" s="15"/>
      <c r="I160" s="15"/>
      <c r="J160" s="20"/>
      <c r="K160" s="8"/>
      <c r="L160" s="8"/>
    </row>
    <row r="161" spans="1:12" ht="15.75" thickBot="1">
      <c r="A161" s="8">
        <v>46</v>
      </c>
      <c r="B161" s="8" t="s">
        <v>40</v>
      </c>
      <c r="C161" s="8" t="s">
        <v>12</v>
      </c>
      <c r="D161" s="29">
        <v>4628.6099999999997</v>
      </c>
      <c r="E161" s="29">
        <v>103.45</v>
      </c>
      <c r="F161" s="28">
        <v>1.48</v>
      </c>
      <c r="G161" s="28"/>
      <c r="H161" s="28"/>
      <c r="I161" s="28"/>
      <c r="J161" s="29">
        <f>SUM(D161:I161)</f>
        <v>4733.5399999999991</v>
      </c>
      <c r="K161" s="8"/>
      <c r="L161" s="8"/>
    </row>
    <row r="162" spans="1:12">
      <c r="A162" s="8"/>
      <c r="B162" s="8"/>
      <c r="C162" s="8"/>
      <c r="D162" s="20"/>
      <c r="E162" s="20"/>
      <c r="F162" s="15"/>
      <c r="G162" s="15"/>
      <c r="H162" s="15"/>
      <c r="I162" s="15"/>
      <c r="J162" s="20"/>
      <c r="K162" s="8"/>
      <c r="L162" s="8"/>
    </row>
    <row r="163" spans="1:12" ht="15.75" thickBot="1">
      <c r="A163" s="8"/>
      <c r="B163" s="8"/>
      <c r="C163" s="8" t="s">
        <v>10</v>
      </c>
      <c r="D163" s="31">
        <f t="shared" ref="D163:I163" si="25">SUM(D161:D162)</f>
        <v>4628.6099999999997</v>
      </c>
      <c r="E163" s="31">
        <f t="shared" si="25"/>
        <v>103.45</v>
      </c>
      <c r="F163" s="30">
        <f t="shared" si="25"/>
        <v>1.48</v>
      </c>
      <c r="G163" s="30">
        <f t="shared" si="25"/>
        <v>0</v>
      </c>
      <c r="H163" s="30">
        <f t="shared" si="25"/>
        <v>0</v>
      </c>
      <c r="I163" s="30">
        <f t="shared" si="25"/>
        <v>0</v>
      </c>
      <c r="J163" s="31">
        <f>SUM(D163:I163)</f>
        <v>4733.5399999999991</v>
      </c>
      <c r="K163" s="8"/>
      <c r="L163" s="8"/>
    </row>
    <row r="164" spans="1:12" ht="15.75" thickTop="1">
      <c r="A164" s="8"/>
      <c r="B164" s="8"/>
      <c r="C164" s="8"/>
      <c r="D164" s="20"/>
      <c r="E164" s="20"/>
      <c r="F164" s="15"/>
      <c r="G164" s="15"/>
      <c r="H164" s="15"/>
      <c r="I164" s="15"/>
      <c r="J164" s="20"/>
      <c r="K164" s="8"/>
      <c r="L164" s="8"/>
    </row>
    <row r="165" spans="1:12">
      <c r="A165" s="8"/>
      <c r="B165" s="8"/>
      <c r="C165" s="8"/>
      <c r="D165" s="20"/>
      <c r="E165" s="20"/>
      <c r="F165" s="15"/>
      <c r="G165" s="15"/>
      <c r="H165" s="15"/>
      <c r="I165" s="15"/>
      <c r="J165" s="20"/>
      <c r="K165" s="8"/>
      <c r="L165" s="8"/>
    </row>
    <row r="166" spans="1:12" ht="15.75" thickBot="1">
      <c r="A166" s="8">
        <v>47</v>
      </c>
      <c r="B166" s="8" t="s">
        <v>41</v>
      </c>
      <c r="C166" s="8" t="s">
        <v>12</v>
      </c>
      <c r="D166" s="29">
        <v>5627.71</v>
      </c>
      <c r="E166" s="29">
        <v>243.2</v>
      </c>
      <c r="F166" s="28">
        <v>212.43</v>
      </c>
      <c r="G166" s="28"/>
      <c r="H166" s="28"/>
      <c r="I166" s="28"/>
      <c r="J166" s="29">
        <f>SUM(D166:I166)</f>
        <v>6083.34</v>
      </c>
      <c r="K166" s="8"/>
      <c r="L166" s="8"/>
    </row>
    <row r="167" spans="1:12">
      <c r="A167" s="8"/>
      <c r="B167" s="8"/>
      <c r="C167" s="8"/>
      <c r="D167" s="20"/>
      <c r="E167" s="20"/>
      <c r="F167" s="15"/>
      <c r="G167" s="15"/>
      <c r="H167" s="15"/>
      <c r="I167" s="15"/>
      <c r="J167" s="20"/>
      <c r="K167" s="8"/>
      <c r="L167" s="8"/>
    </row>
    <row r="168" spans="1:12" ht="15.75" thickBot="1">
      <c r="A168" s="8"/>
      <c r="B168" s="8"/>
      <c r="C168" s="8" t="s">
        <v>10</v>
      </c>
      <c r="D168" s="31">
        <f t="shared" ref="D168:I168" si="26">SUM(D166:D167)</f>
        <v>5627.71</v>
      </c>
      <c r="E168" s="31">
        <f t="shared" si="26"/>
        <v>243.2</v>
      </c>
      <c r="F168" s="30">
        <f t="shared" si="26"/>
        <v>212.43</v>
      </c>
      <c r="G168" s="30">
        <f t="shared" si="26"/>
        <v>0</v>
      </c>
      <c r="H168" s="30">
        <f t="shared" si="26"/>
        <v>0</v>
      </c>
      <c r="I168" s="30">
        <f t="shared" si="26"/>
        <v>0</v>
      </c>
      <c r="J168" s="31">
        <f>SUM(D168:I168)</f>
        <v>6083.34</v>
      </c>
      <c r="K168" s="8"/>
      <c r="L168" s="8"/>
    </row>
    <row r="169" spans="1:12" ht="15.75" thickTop="1">
      <c r="A169" s="8"/>
      <c r="B169" s="8"/>
      <c r="C169" s="8"/>
      <c r="D169" s="20"/>
      <c r="E169" s="20"/>
      <c r="F169" s="15"/>
      <c r="G169" s="15"/>
      <c r="H169" s="15"/>
      <c r="I169" s="15"/>
      <c r="J169" s="20"/>
      <c r="K169" s="8"/>
      <c r="L169" s="8"/>
    </row>
    <row r="170" spans="1:12">
      <c r="A170" s="8"/>
      <c r="B170" s="8"/>
      <c r="C170" s="8"/>
      <c r="D170" s="20"/>
      <c r="E170" s="20"/>
      <c r="F170" s="15"/>
      <c r="G170" s="15"/>
      <c r="H170" s="15"/>
      <c r="I170" s="15"/>
      <c r="J170" s="20"/>
      <c r="K170" s="8"/>
      <c r="L170" s="8"/>
    </row>
    <row r="171" spans="1:12" ht="15.75" thickBot="1">
      <c r="A171" s="8">
        <v>48</v>
      </c>
      <c r="B171" s="8" t="s">
        <v>42</v>
      </c>
      <c r="C171" s="8" t="s">
        <v>12</v>
      </c>
      <c r="D171" s="29">
        <v>9926.67</v>
      </c>
      <c r="E171" s="29">
        <v>327.74</v>
      </c>
      <c r="F171" s="28">
        <v>198.13</v>
      </c>
      <c r="G171" s="28"/>
      <c r="H171" s="28"/>
      <c r="I171" s="28"/>
      <c r="J171" s="29">
        <f>SUM(D171:I171)</f>
        <v>10452.539999999999</v>
      </c>
      <c r="K171" s="8"/>
      <c r="L171" s="8"/>
    </row>
    <row r="172" spans="1:12">
      <c r="A172" s="8"/>
      <c r="B172" s="8"/>
      <c r="C172" s="8"/>
      <c r="D172" s="20"/>
      <c r="E172" s="20"/>
      <c r="F172" s="15"/>
      <c r="G172" s="15"/>
      <c r="H172" s="15"/>
      <c r="I172" s="15"/>
      <c r="J172" s="20"/>
      <c r="K172" s="8"/>
      <c r="L172" s="8"/>
    </row>
    <row r="173" spans="1:12" ht="15.75" thickBot="1">
      <c r="A173" s="8"/>
      <c r="B173" s="8"/>
      <c r="C173" s="8" t="s">
        <v>10</v>
      </c>
      <c r="D173" s="31">
        <f t="shared" ref="D173:I173" si="27">SUM(D171:D172)</f>
        <v>9926.67</v>
      </c>
      <c r="E173" s="31">
        <f t="shared" si="27"/>
        <v>327.74</v>
      </c>
      <c r="F173" s="30">
        <f t="shared" si="27"/>
        <v>198.13</v>
      </c>
      <c r="G173" s="30">
        <f t="shared" si="27"/>
        <v>0</v>
      </c>
      <c r="H173" s="30">
        <f t="shared" si="27"/>
        <v>0</v>
      </c>
      <c r="I173" s="30">
        <f t="shared" si="27"/>
        <v>0</v>
      </c>
      <c r="J173" s="31">
        <f>SUM(D173:I173)</f>
        <v>10452.539999999999</v>
      </c>
      <c r="K173" s="8"/>
      <c r="L173" s="8"/>
    </row>
    <row r="174" spans="1:12" ht="15.75" thickTop="1">
      <c r="A174" s="8"/>
      <c r="B174" s="8"/>
      <c r="C174" s="8"/>
      <c r="D174" s="20"/>
      <c r="E174" s="20"/>
      <c r="F174" s="15"/>
      <c r="G174" s="15"/>
      <c r="H174" s="15"/>
      <c r="I174" s="15"/>
      <c r="J174" s="20"/>
      <c r="K174" s="8"/>
      <c r="L174" s="8"/>
    </row>
    <row r="175" spans="1:12">
      <c r="A175" s="8"/>
      <c r="B175" s="8"/>
      <c r="C175" s="8"/>
      <c r="D175" s="20"/>
      <c r="E175" s="20"/>
      <c r="F175" s="15"/>
      <c r="G175" s="15"/>
      <c r="H175" s="15"/>
      <c r="I175" s="15"/>
      <c r="J175" s="20"/>
      <c r="K175" s="8"/>
      <c r="L175" s="8"/>
    </row>
    <row r="176" spans="1:12" ht="15.75" thickBot="1">
      <c r="A176" s="8">
        <v>49</v>
      </c>
      <c r="B176" s="8" t="s">
        <v>43</v>
      </c>
      <c r="C176" s="8" t="s">
        <v>12</v>
      </c>
      <c r="D176" s="29">
        <v>13673.4</v>
      </c>
      <c r="E176" s="29">
        <v>456.32</v>
      </c>
      <c r="F176" s="28">
        <v>455.73</v>
      </c>
      <c r="G176" s="28">
        <v>74.36</v>
      </c>
      <c r="H176" s="28"/>
      <c r="I176" s="28"/>
      <c r="J176" s="29">
        <f>SUM(D176:I176)</f>
        <v>14659.81</v>
      </c>
      <c r="K176" s="8"/>
      <c r="L176" s="8"/>
    </row>
    <row r="177" spans="1:12">
      <c r="A177" s="8"/>
      <c r="B177" s="8"/>
      <c r="C177" s="8"/>
      <c r="D177" s="20"/>
      <c r="E177" s="20"/>
      <c r="F177" s="15"/>
      <c r="G177" s="15"/>
      <c r="H177" s="15"/>
      <c r="I177" s="15"/>
      <c r="J177" s="20"/>
      <c r="K177" s="8"/>
      <c r="L177" s="8"/>
    </row>
    <row r="178" spans="1:12" ht="15.75" thickBot="1">
      <c r="A178" s="8"/>
      <c r="B178" s="8"/>
      <c r="C178" s="8" t="s">
        <v>10</v>
      </c>
      <c r="D178" s="31">
        <f t="shared" ref="D178:I178" si="28">SUM(D176:D177)</f>
        <v>13673.4</v>
      </c>
      <c r="E178" s="31">
        <f t="shared" si="28"/>
        <v>456.32</v>
      </c>
      <c r="F178" s="30">
        <f t="shared" si="28"/>
        <v>455.73</v>
      </c>
      <c r="G178" s="30">
        <f t="shared" si="28"/>
        <v>74.36</v>
      </c>
      <c r="H178" s="30">
        <f t="shared" si="28"/>
        <v>0</v>
      </c>
      <c r="I178" s="30">
        <f t="shared" si="28"/>
        <v>0</v>
      </c>
      <c r="J178" s="31">
        <f>SUM(D178:I178)</f>
        <v>14659.81</v>
      </c>
      <c r="K178" s="8"/>
      <c r="L178" s="8"/>
    </row>
    <row r="179" spans="1:12" ht="15.75" thickTop="1">
      <c r="A179" s="8"/>
      <c r="B179" s="8"/>
      <c r="C179" s="8"/>
      <c r="D179" s="20"/>
      <c r="E179" s="20"/>
      <c r="F179" s="15"/>
      <c r="G179" s="15"/>
      <c r="H179" s="15"/>
      <c r="I179" s="15"/>
      <c r="J179" s="20"/>
      <c r="K179" s="8"/>
      <c r="L179" s="8"/>
    </row>
    <row r="180" spans="1:12">
      <c r="A180" s="8"/>
      <c r="B180" s="8"/>
      <c r="C180" s="8"/>
      <c r="D180" s="20"/>
      <c r="E180" s="20"/>
      <c r="F180" s="15"/>
      <c r="G180" s="15"/>
      <c r="H180" s="15"/>
      <c r="I180" s="15"/>
      <c r="J180" s="20"/>
      <c r="K180" s="8"/>
      <c r="L180" s="8"/>
    </row>
    <row r="181" spans="1:12">
      <c r="A181" s="8">
        <v>50</v>
      </c>
      <c r="B181" s="8" t="s">
        <v>44</v>
      </c>
      <c r="C181" s="8" t="s">
        <v>12</v>
      </c>
      <c r="D181" s="20">
        <v>3773.02</v>
      </c>
      <c r="E181" s="20">
        <v>43.03</v>
      </c>
      <c r="F181" s="15"/>
      <c r="G181" s="15"/>
      <c r="H181" s="15"/>
      <c r="I181" s="15"/>
      <c r="J181" s="20">
        <f>SUM(D181:I181)</f>
        <v>3816.05</v>
      </c>
      <c r="K181" s="8"/>
      <c r="L181" s="8"/>
    </row>
    <row r="182" spans="1:12" ht="15.75" thickBot="1">
      <c r="A182" s="8"/>
      <c r="B182" s="8"/>
      <c r="C182" s="8" t="s">
        <v>13</v>
      </c>
      <c r="D182" s="29">
        <v>94.1</v>
      </c>
      <c r="E182" s="29">
        <v>1.03</v>
      </c>
      <c r="F182" s="28"/>
      <c r="G182" s="28"/>
      <c r="H182" s="28"/>
      <c r="I182" s="28"/>
      <c r="J182" s="29">
        <f>SUM(D182:I182)</f>
        <v>95.13</v>
      </c>
      <c r="K182" s="8"/>
      <c r="L182" s="8"/>
    </row>
    <row r="183" spans="1:12">
      <c r="A183" s="8"/>
      <c r="B183" s="8"/>
      <c r="C183" s="8"/>
      <c r="D183" s="20"/>
      <c r="E183" s="20"/>
      <c r="F183" s="15"/>
      <c r="G183" s="15"/>
      <c r="H183" s="15"/>
      <c r="I183" s="15"/>
      <c r="J183" s="20"/>
      <c r="K183" s="8"/>
      <c r="L183" s="8"/>
    </row>
    <row r="184" spans="1:12" ht="15.75" thickBot="1">
      <c r="A184" s="8"/>
      <c r="B184" s="8"/>
      <c r="C184" s="8" t="s">
        <v>10</v>
      </c>
      <c r="D184" s="31">
        <f t="shared" ref="D184:I184" si="29">SUM(D181:D182)</f>
        <v>3867.12</v>
      </c>
      <c r="E184" s="31">
        <f t="shared" si="29"/>
        <v>44.06</v>
      </c>
      <c r="F184" s="30">
        <f t="shared" si="29"/>
        <v>0</v>
      </c>
      <c r="G184" s="30">
        <f t="shared" si="29"/>
        <v>0</v>
      </c>
      <c r="H184" s="30">
        <f t="shared" si="29"/>
        <v>0</v>
      </c>
      <c r="I184" s="30">
        <f t="shared" si="29"/>
        <v>0</v>
      </c>
      <c r="J184" s="31">
        <f>SUM(D184:I184)</f>
        <v>3911.18</v>
      </c>
      <c r="K184" s="8"/>
      <c r="L184" s="8"/>
    </row>
    <row r="185" spans="1:12" ht="15.75" thickTop="1">
      <c r="A185" s="8"/>
      <c r="B185" s="8"/>
      <c r="C185" s="8"/>
      <c r="D185" s="20"/>
      <c r="E185" s="20"/>
      <c r="F185" s="15"/>
      <c r="G185" s="15"/>
      <c r="H185" s="15"/>
      <c r="I185" s="15"/>
      <c r="J185" s="20"/>
      <c r="K185" s="8"/>
      <c r="L185" s="8"/>
    </row>
    <row r="186" spans="1:12">
      <c r="A186" s="8"/>
      <c r="B186" s="8"/>
      <c r="C186" s="8"/>
      <c r="D186" s="20"/>
      <c r="E186" s="20"/>
      <c r="F186" s="15"/>
      <c r="G186" s="15"/>
      <c r="H186" s="15"/>
      <c r="I186" s="15"/>
      <c r="J186" s="20"/>
      <c r="K186" s="8"/>
      <c r="L186" s="8"/>
    </row>
    <row r="187" spans="1:12">
      <c r="A187" s="8">
        <v>51</v>
      </c>
      <c r="B187" s="8" t="s">
        <v>45</v>
      </c>
      <c r="C187" s="8" t="s">
        <v>12</v>
      </c>
      <c r="D187" s="20">
        <v>12945.11</v>
      </c>
      <c r="E187" s="20">
        <v>670.32</v>
      </c>
      <c r="F187" s="15">
        <v>530.44000000000005</v>
      </c>
      <c r="G187" s="15">
        <v>249.51</v>
      </c>
      <c r="H187" s="15">
        <v>247.15</v>
      </c>
      <c r="I187" s="15"/>
      <c r="J187" s="20">
        <f>SUM(D187:I187)</f>
        <v>14642.53</v>
      </c>
      <c r="K187" s="8"/>
      <c r="L187" s="8"/>
    </row>
    <row r="188" spans="1:12">
      <c r="A188" s="8"/>
      <c r="B188" s="8"/>
      <c r="C188" s="8" t="s">
        <v>13</v>
      </c>
      <c r="D188" s="20"/>
      <c r="E188" s="20"/>
      <c r="F188" s="15"/>
      <c r="G188" s="15"/>
      <c r="H188" s="15"/>
      <c r="I188" s="15"/>
      <c r="J188" s="20">
        <f>SUM(D188:I188)</f>
        <v>0</v>
      </c>
      <c r="K188" s="8"/>
      <c r="L188" s="8"/>
    </row>
    <row r="189" spans="1:12" ht="15.75" thickBot="1">
      <c r="A189" s="8"/>
      <c r="B189" s="8"/>
      <c r="C189" s="8" t="s">
        <v>46</v>
      </c>
      <c r="D189" s="29">
        <v>262.79000000000002</v>
      </c>
      <c r="E189" s="29">
        <v>13.59</v>
      </c>
      <c r="F189" s="28">
        <v>10.76</v>
      </c>
      <c r="G189" s="28">
        <v>5.13</v>
      </c>
      <c r="H189" s="28">
        <v>5.17</v>
      </c>
      <c r="I189" s="28"/>
      <c r="J189" s="29">
        <f>SUM(D189:I189)</f>
        <v>297.44</v>
      </c>
      <c r="K189" s="8"/>
      <c r="L189" s="8"/>
    </row>
    <row r="190" spans="1:12">
      <c r="A190" s="8"/>
      <c r="B190" s="8"/>
      <c r="C190" s="8"/>
      <c r="D190" s="20"/>
      <c r="E190" s="20"/>
      <c r="F190" s="15"/>
      <c r="G190" s="15"/>
      <c r="H190" s="15"/>
      <c r="I190" s="15"/>
      <c r="J190" s="20"/>
      <c r="K190" s="8"/>
      <c r="L190" s="8"/>
    </row>
    <row r="191" spans="1:12" ht="15.75" thickBot="1">
      <c r="A191" s="8"/>
      <c r="B191" s="8"/>
      <c r="C191" s="8" t="s">
        <v>10</v>
      </c>
      <c r="D191" s="31">
        <f t="shared" ref="D191:I191" si="30">SUM(D187:D189)</f>
        <v>13207.900000000001</v>
      </c>
      <c r="E191" s="31">
        <f t="shared" si="30"/>
        <v>683.91000000000008</v>
      </c>
      <c r="F191" s="30">
        <f t="shared" si="30"/>
        <v>541.20000000000005</v>
      </c>
      <c r="G191" s="30">
        <f t="shared" si="30"/>
        <v>254.64</v>
      </c>
      <c r="H191" s="30">
        <f t="shared" si="30"/>
        <v>252.32</v>
      </c>
      <c r="I191" s="30">
        <f t="shared" si="30"/>
        <v>0</v>
      </c>
      <c r="J191" s="31">
        <f>SUM(D191:I191)</f>
        <v>14939.970000000001</v>
      </c>
      <c r="K191" s="8"/>
      <c r="L191" s="8"/>
    </row>
    <row r="192" spans="1:12" ht="15.75" thickTop="1">
      <c r="A192" s="8"/>
      <c r="B192" s="8"/>
      <c r="C192" s="8"/>
      <c r="D192" s="20"/>
      <c r="E192" s="20"/>
      <c r="F192" s="15"/>
      <c r="G192" s="15"/>
      <c r="H192" s="15"/>
      <c r="I192" s="15"/>
      <c r="J192" s="20"/>
      <c r="K192" s="8"/>
      <c r="L192" s="8"/>
    </row>
    <row r="193" spans="1:12">
      <c r="A193" s="8"/>
      <c r="B193" s="8"/>
      <c r="C193" s="8"/>
      <c r="D193" s="20"/>
      <c r="E193" s="20"/>
      <c r="F193" s="15"/>
      <c r="G193" s="15"/>
      <c r="H193" s="15"/>
      <c r="I193" s="15"/>
      <c r="J193" s="20"/>
      <c r="K193" s="8"/>
      <c r="L193" s="8"/>
    </row>
    <row r="194" spans="1:12">
      <c r="A194" s="8">
        <v>52</v>
      </c>
      <c r="B194" s="8" t="s">
        <v>47</v>
      </c>
      <c r="C194" s="8" t="s">
        <v>12</v>
      </c>
      <c r="D194" s="20">
        <v>8915.5400000000009</v>
      </c>
      <c r="E194" s="20"/>
      <c r="F194" s="15"/>
      <c r="G194" s="15"/>
      <c r="H194" s="15"/>
      <c r="I194" s="15"/>
      <c r="J194" s="20">
        <f>SUM(D194:I194)</f>
        <v>8915.5400000000009</v>
      </c>
      <c r="K194" s="8"/>
      <c r="L194" s="8"/>
    </row>
    <row r="195" spans="1:12" ht="15.75" thickBot="1">
      <c r="A195" s="8"/>
      <c r="B195" s="8"/>
      <c r="C195" s="8" t="s">
        <v>13</v>
      </c>
      <c r="D195" s="29"/>
      <c r="E195" s="29"/>
      <c r="F195" s="28"/>
      <c r="G195" s="28"/>
      <c r="H195" s="28"/>
      <c r="I195" s="28"/>
      <c r="J195" s="34">
        <v>0</v>
      </c>
      <c r="K195" s="8"/>
      <c r="L195" s="8"/>
    </row>
    <row r="196" spans="1:12">
      <c r="A196" s="8"/>
      <c r="B196" s="8"/>
      <c r="C196" s="8"/>
      <c r="D196" s="20"/>
      <c r="E196" s="20"/>
      <c r="F196" s="15"/>
      <c r="G196" s="15"/>
      <c r="H196" s="15"/>
      <c r="I196" s="15"/>
      <c r="J196" s="20"/>
      <c r="K196" s="8"/>
      <c r="L196" s="8"/>
    </row>
    <row r="197" spans="1:12" ht="15.75" thickBot="1">
      <c r="A197" s="8"/>
      <c r="B197" s="8"/>
      <c r="C197" s="8" t="s">
        <v>10</v>
      </c>
      <c r="D197" s="31">
        <f t="shared" ref="D197:I197" si="31">SUM(D194:D195)</f>
        <v>8915.5400000000009</v>
      </c>
      <c r="E197" s="31">
        <f t="shared" si="31"/>
        <v>0</v>
      </c>
      <c r="F197" s="30">
        <f t="shared" si="31"/>
        <v>0</v>
      </c>
      <c r="G197" s="30">
        <f t="shared" si="31"/>
        <v>0</v>
      </c>
      <c r="H197" s="30">
        <f t="shared" si="31"/>
        <v>0</v>
      </c>
      <c r="I197" s="30">
        <f t="shared" si="31"/>
        <v>0</v>
      </c>
      <c r="J197" s="31">
        <f>SUM(D197:I197)</f>
        <v>8915.5400000000009</v>
      </c>
      <c r="K197" s="8"/>
      <c r="L197" s="8"/>
    </row>
    <row r="198" spans="1:12" ht="15.75" thickTop="1">
      <c r="A198" s="8"/>
      <c r="B198" s="8"/>
      <c r="C198" s="8"/>
      <c r="D198" s="20"/>
      <c r="E198" s="20"/>
      <c r="F198" s="15"/>
      <c r="G198" s="15"/>
      <c r="H198" s="15"/>
      <c r="I198" s="15"/>
      <c r="J198" s="20"/>
      <c r="K198" s="8"/>
      <c r="L198" s="8"/>
    </row>
    <row r="199" spans="1:12">
      <c r="A199" s="8"/>
      <c r="B199" s="8"/>
      <c r="C199" s="8"/>
      <c r="D199" s="20"/>
      <c r="E199" s="20"/>
      <c r="F199" s="15"/>
      <c r="G199" s="15"/>
      <c r="H199" s="15"/>
      <c r="I199" s="15"/>
      <c r="J199" s="20"/>
      <c r="K199" s="8"/>
      <c r="L199" s="8"/>
    </row>
    <row r="200" spans="1:12">
      <c r="A200" s="8">
        <v>53</v>
      </c>
      <c r="B200" s="8" t="s">
        <v>48</v>
      </c>
      <c r="C200" s="8" t="s">
        <v>12</v>
      </c>
      <c r="D200" s="20">
        <v>13777.44</v>
      </c>
      <c r="E200" s="20">
        <v>97.24</v>
      </c>
      <c r="F200" s="15">
        <v>54.68</v>
      </c>
      <c r="G200" s="15">
        <v>50.21</v>
      </c>
      <c r="H200" s="15">
        <v>10.85</v>
      </c>
      <c r="I200" s="15">
        <v>1.28</v>
      </c>
      <c r="J200" s="20">
        <f>SUM(D200:I200)</f>
        <v>13991.7</v>
      </c>
      <c r="K200" s="8"/>
      <c r="L200" s="8"/>
    </row>
    <row r="201" spans="1:12">
      <c r="A201" s="8"/>
      <c r="B201" s="8"/>
      <c r="C201" s="8" t="s">
        <v>35</v>
      </c>
      <c r="D201" s="20">
        <v>765.07</v>
      </c>
      <c r="E201" s="20">
        <v>5.23</v>
      </c>
      <c r="F201" s="15">
        <v>3.02</v>
      </c>
      <c r="G201" s="15">
        <v>2.42</v>
      </c>
      <c r="H201" s="15">
        <v>0.7</v>
      </c>
      <c r="I201" s="15">
        <v>0.05</v>
      </c>
      <c r="J201" s="20">
        <f>SUM(D201:I201)</f>
        <v>776.49</v>
      </c>
      <c r="K201" s="8"/>
      <c r="L201" s="8"/>
    </row>
    <row r="202" spans="1:12">
      <c r="A202" s="8"/>
      <c r="B202" s="8"/>
      <c r="C202" s="8" t="s">
        <v>97</v>
      </c>
      <c r="D202" s="20">
        <v>367.07</v>
      </c>
      <c r="E202" s="20">
        <v>2.99</v>
      </c>
      <c r="F202" s="15">
        <v>1.22</v>
      </c>
      <c r="G202" s="15"/>
      <c r="H202" s="15"/>
      <c r="I202" s="15"/>
      <c r="J202" s="20">
        <f>SUM(D202:I202)</f>
        <v>371.28000000000003</v>
      </c>
      <c r="K202" s="8"/>
      <c r="L202" s="8"/>
    </row>
    <row r="203" spans="1:12" ht="15.75" thickBot="1">
      <c r="A203" s="8"/>
      <c r="B203" s="8"/>
      <c r="C203" s="8" t="s">
        <v>98</v>
      </c>
      <c r="D203" s="29">
        <v>2296.6799999999998</v>
      </c>
      <c r="E203" s="29">
        <v>15.85</v>
      </c>
      <c r="F203" s="28">
        <v>8.61</v>
      </c>
      <c r="G203" s="28"/>
      <c r="H203" s="28"/>
      <c r="I203" s="28"/>
      <c r="J203" s="29">
        <f>SUM(D203:I203)</f>
        <v>2321.14</v>
      </c>
      <c r="K203" s="8"/>
      <c r="L203" s="8"/>
    </row>
    <row r="204" spans="1:12">
      <c r="A204" s="8"/>
      <c r="B204" s="8"/>
      <c r="C204" s="8"/>
      <c r="D204" s="20"/>
      <c r="E204" s="20"/>
      <c r="F204" s="15"/>
      <c r="G204" s="15"/>
      <c r="H204" s="15"/>
      <c r="I204" s="15"/>
      <c r="J204" s="20"/>
      <c r="K204" s="8"/>
      <c r="L204" s="8"/>
    </row>
    <row r="205" spans="1:12" ht="15.75" thickBot="1">
      <c r="A205" s="8"/>
      <c r="B205" s="8"/>
      <c r="C205" s="8" t="s">
        <v>10</v>
      </c>
      <c r="D205" s="31">
        <f t="shared" ref="D205:J205" si="32">SUM(D200:D204)</f>
        <v>17206.259999999998</v>
      </c>
      <c r="E205" s="31">
        <f t="shared" si="32"/>
        <v>121.30999999999999</v>
      </c>
      <c r="F205" s="30">
        <f t="shared" si="32"/>
        <v>67.53</v>
      </c>
      <c r="G205" s="30">
        <f t="shared" si="32"/>
        <v>52.63</v>
      </c>
      <c r="H205" s="30">
        <f t="shared" si="32"/>
        <v>11.549999999999999</v>
      </c>
      <c r="I205" s="30">
        <f t="shared" si="32"/>
        <v>1.33</v>
      </c>
      <c r="J205" s="30">
        <f t="shared" si="32"/>
        <v>17460.61</v>
      </c>
      <c r="K205" s="8"/>
      <c r="L205" s="8"/>
    </row>
    <row r="206" spans="1:12" ht="15.75" thickTop="1">
      <c r="A206" s="8"/>
      <c r="B206" s="8"/>
      <c r="C206" s="8"/>
      <c r="D206" s="20"/>
      <c r="E206" s="20"/>
      <c r="F206" s="15"/>
      <c r="G206" s="15"/>
      <c r="H206" s="15"/>
      <c r="I206" s="15"/>
      <c r="J206" s="20"/>
      <c r="K206" s="8"/>
      <c r="L206" s="8"/>
    </row>
    <row r="207" spans="1:12">
      <c r="A207" s="8"/>
      <c r="B207" s="8"/>
      <c r="C207" s="8"/>
      <c r="D207" s="20"/>
      <c r="E207" s="20"/>
      <c r="F207" s="15"/>
      <c r="G207" s="15"/>
      <c r="H207" s="15"/>
      <c r="I207" s="15"/>
      <c r="J207" s="20"/>
      <c r="K207" s="8"/>
      <c r="L207" s="8"/>
    </row>
    <row r="208" spans="1:12" ht="15.75" thickBot="1">
      <c r="A208" s="8">
        <v>54</v>
      </c>
      <c r="B208" s="8" t="s">
        <v>49</v>
      </c>
      <c r="C208" s="8" t="s">
        <v>12</v>
      </c>
      <c r="D208" s="29">
        <v>8084.73</v>
      </c>
      <c r="E208" s="29">
        <v>55.18</v>
      </c>
      <c r="F208" s="28">
        <v>26.69</v>
      </c>
      <c r="G208" s="28">
        <v>10.82</v>
      </c>
      <c r="H208" s="28"/>
      <c r="I208" s="28"/>
      <c r="J208" s="29">
        <f>SUM(D208:I208)</f>
        <v>8177.4199999999992</v>
      </c>
      <c r="K208" s="8"/>
      <c r="L208" s="8"/>
    </row>
    <row r="209" spans="1:12">
      <c r="A209" s="8"/>
      <c r="B209" s="8"/>
      <c r="C209" s="8"/>
      <c r="D209" s="20"/>
      <c r="E209" s="20"/>
      <c r="F209" s="15"/>
      <c r="G209" s="15"/>
      <c r="H209" s="15"/>
      <c r="I209" s="15"/>
      <c r="J209" s="20"/>
      <c r="K209" s="8"/>
      <c r="L209" s="8"/>
    </row>
    <row r="210" spans="1:12" ht="15.75" thickBot="1">
      <c r="A210" s="8"/>
      <c r="B210" s="8"/>
      <c r="C210" s="8" t="s">
        <v>10</v>
      </c>
      <c r="D210" s="31">
        <f t="shared" ref="D210:I210" si="33">SUM(D208:D209)</f>
        <v>8084.73</v>
      </c>
      <c r="E210" s="31">
        <f t="shared" si="33"/>
        <v>55.18</v>
      </c>
      <c r="F210" s="30">
        <f t="shared" si="33"/>
        <v>26.69</v>
      </c>
      <c r="G210" s="30">
        <f t="shared" si="33"/>
        <v>10.82</v>
      </c>
      <c r="H210" s="30">
        <f t="shared" si="33"/>
        <v>0</v>
      </c>
      <c r="I210" s="30">
        <f t="shared" si="33"/>
        <v>0</v>
      </c>
      <c r="J210" s="31">
        <f>SUM(D210:I210)</f>
        <v>8177.4199999999992</v>
      </c>
      <c r="K210" s="8"/>
      <c r="L210" s="8"/>
    </row>
    <row r="211" spans="1:12" ht="15.75" thickTop="1">
      <c r="A211" s="8"/>
      <c r="B211" s="8"/>
      <c r="C211" s="8"/>
      <c r="D211" s="20"/>
      <c r="E211" s="20"/>
      <c r="F211" s="15"/>
      <c r="G211" s="15"/>
      <c r="H211" s="15"/>
      <c r="I211" s="15"/>
      <c r="J211" s="20"/>
      <c r="K211" s="8"/>
      <c r="L211" s="8"/>
    </row>
    <row r="212" spans="1:12">
      <c r="A212" s="8"/>
      <c r="B212" s="8"/>
      <c r="C212" s="8"/>
      <c r="D212" s="20"/>
      <c r="E212" s="20"/>
      <c r="F212" s="15"/>
      <c r="G212" s="15"/>
      <c r="H212" s="15"/>
      <c r="I212" s="15"/>
      <c r="J212" s="20"/>
      <c r="K212" s="8"/>
      <c r="L212" s="8"/>
    </row>
    <row r="213" spans="1:12">
      <c r="A213" s="8">
        <v>55</v>
      </c>
      <c r="B213" s="8" t="s">
        <v>50</v>
      </c>
      <c r="C213" s="8" t="s">
        <v>12</v>
      </c>
      <c r="D213" s="20">
        <v>14817.44</v>
      </c>
      <c r="E213" s="20">
        <v>889</v>
      </c>
      <c r="F213" s="15">
        <v>485.06</v>
      </c>
      <c r="G213" s="15">
        <v>213.85</v>
      </c>
      <c r="H213" s="15">
        <v>204.48</v>
      </c>
      <c r="I213" s="15"/>
      <c r="J213" s="20">
        <f>SUM(D213:I213)</f>
        <v>16609.829999999998</v>
      </c>
      <c r="K213" s="8"/>
      <c r="L213" s="8"/>
    </row>
    <row r="214" spans="1:12" ht="15.75" thickBot="1">
      <c r="A214" s="8"/>
      <c r="B214" s="8"/>
      <c r="C214" s="8" t="s">
        <v>13</v>
      </c>
      <c r="D214" s="29">
        <v>419.4</v>
      </c>
      <c r="E214" s="29">
        <v>27.22</v>
      </c>
      <c r="F214" s="28">
        <v>16.39</v>
      </c>
      <c r="G214" s="28">
        <v>7.14</v>
      </c>
      <c r="H214" s="28">
        <v>7.5</v>
      </c>
      <c r="I214" s="28"/>
      <c r="J214" s="29">
        <f>SUM(D214:I214)</f>
        <v>477.65</v>
      </c>
      <c r="K214" s="8"/>
      <c r="L214" s="8"/>
    </row>
    <row r="215" spans="1:12">
      <c r="A215" s="8"/>
      <c r="B215" s="8"/>
      <c r="C215" s="8"/>
      <c r="D215" s="20"/>
      <c r="E215" s="20"/>
      <c r="F215" s="15"/>
      <c r="G215" s="15"/>
      <c r="H215" s="15"/>
      <c r="I215" s="15"/>
      <c r="J215" s="20"/>
      <c r="K215" s="8"/>
      <c r="L215" s="8"/>
    </row>
    <row r="216" spans="1:12" ht="15.75" thickBot="1">
      <c r="A216" s="8"/>
      <c r="B216" s="8"/>
      <c r="C216" s="8" t="s">
        <v>10</v>
      </c>
      <c r="D216" s="31">
        <f t="shared" ref="D216:I216" si="34">SUM(D213:D214)</f>
        <v>15236.84</v>
      </c>
      <c r="E216" s="31">
        <f t="shared" si="34"/>
        <v>916.22</v>
      </c>
      <c r="F216" s="30">
        <f t="shared" si="34"/>
        <v>501.45</v>
      </c>
      <c r="G216" s="30">
        <f t="shared" si="34"/>
        <v>220.98999999999998</v>
      </c>
      <c r="H216" s="30">
        <f t="shared" si="34"/>
        <v>211.98</v>
      </c>
      <c r="I216" s="30">
        <f t="shared" si="34"/>
        <v>0</v>
      </c>
      <c r="J216" s="31">
        <f>SUM(D216:I216)</f>
        <v>17087.48</v>
      </c>
      <c r="K216" s="8"/>
      <c r="L216" s="8"/>
    </row>
    <row r="217" spans="1:12" ht="15.75" thickTop="1">
      <c r="A217" s="8"/>
      <c r="B217" s="8"/>
      <c r="C217" s="8"/>
      <c r="D217" s="20"/>
      <c r="E217" s="20"/>
      <c r="F217" s="15"/>
      <c r="G217" s="15"/>
      <c r="H217" s="15"/>
      <c r="I217" s="15"/>
      <c r="J217" s="20"/>
      <c r="K217" s="8"/>
      <c r="L217" s="8"/>
    </row>
    <row r="218" spans="1:12">
      <c r="A218" s="8"/>
      <c r="B218" s="8"/>
      <c r="C218" s="8"/>
      <c r="D218" s="20"/>
      <c r="E218" s="20"/>
      <c r="F218" s="15"/>
      <c r="G218" s="15"/>
      <c r="H218" s="15"/>
      <c r="I218" s="15"/>
      <c r="J218" s="20"/>
      <c r="K218" s="8"/>
      <c r="L218" s="8"/>
    </row>
    <row r="219" spans="1:12">
      <c r="A219" s="8">
        <v>56</v>
      </c>
      <c r="B219" s="8" t="s">
        <v>51</v>
      </c>
      <c r="C219" s="8" t="s">
        <v>12</v>
      </c>
      <c r="D219" s="20">
        <v>6289.95</v>
      </c>
      <c r="E219" s="20"/>
      <c r="F219" s="15"/>
      <c r="G219" s="15"/>
      <c r="H219" s="15"/>
      <c r="I219" s="15"/>
      <c r="J219" s="20">
        <f>SUM(D219:I219)</f>
        <v>6289.95</v>
      </c>
      <c r="K219" s="8"/>
      <c r="L219" s="8"/>
    </row>
    <row r="220" spans="1:12" ht="15.75" thickBot="1">
      <c r="A220" s="8"/>
      <c r="B220" s="8"/>
      <c r="C220" s="8" t="s">
        <v>13</v>
      </c>
      <c r="D220" s="29">
        <v>125.54</v>
      </c>
      <c r="E220" s="29"/>
      <c r="F220" s="28"/>
      <c r="G220" s="28"/>
      <c r="H220" s="28"/>
      <c r="I220" s="28"/>
      <c r="J220" s="29">
        <f>SUM(D220:I220)</f>
        <v>125.54</v>
      </c>
      <c r="K220" s="8"/>
      <c r="L220" s="8"/>
    </row>
    <row r="221" spans="1:12">
      <c r="A221" s="8"/>
      <c r="B221" s="8"/>
      <c r="C221" s="8"/>
      <c r="D221" s="20"/>
      <c r="E221" s="20"/>
      <c r="F221" s="15"/>
      <c r="G221" s="15"/>
      <c r="H221" s="15"/>
      <c r="I221" s="15"/>
      <c r="J221" s="20"/>
      <c r="K221" s="8"/>
      <c r="L221" s="8"/>
    </row>
    <row r="222" spans="1:12" ht="15.75" thickBot="1">
      <c r="A222" s="8"/>
      <c r="B222" s="8"/>
      <c r="C222" s="8" t="s">
        <v>10</v>
      </c>
      <c r="D222" s="31">
        <f t="shared" ref="D222:I222" si="35">SUM(D219:D220)</f>
        <v>6415.49</v>
      </c>
      <c r="E222" s="31">
        <f t="shared" si="35"/>
        <v>0</v>
      </c>
      <c r="F222" s="30">
        <f t="shared" si="35"/>
        <v>0</v>
      </c>
      <c r="G222" s="30">
        <f t="shared" si="35"/>
        <v>0</v>
      </c>
      <c r="H222" s="30">
        <f t="shared" si="35"/>
        <v>0</v>
      </c>
      <c r="I222" s="30">
        <f t="shared" si="35"/>
        <v>0</v>
      </c>
      <c r="J222" s="31">
        <f>SUM(D222:I222)</f>
        <v>6415.49</v>
      </c>
      <c r="K222" s="8"/>
      <c r="L222" s="8"/>
    </row>
    <row r="223" spans="1:12" ht="15.75" thickTop="1">
      <c r="A223" s="8"/>
      <c r="B223" s="8"/>
      <c r="C223" s="8"/>
      <c r="D223" s="20"/>
      <c r="E223" s="20"/>
      <c r="F223" s="15"/>
      <c r="G223" s="15"/>
      <c r="H223" s="15"/>
      <c r="I223" s="15"/>
      <c r="J223" s="20"/>
      <c r="K223" s="8"/>
      <c r="L223" s="8"/>
    </row>
    <row r="224" spans="1:12">
      <c r="A224" s="8"/>
      <c r="B224" s="8"/>
      <c r="C224" s="8"/>
      <c r="D224" s="20"/>
      <c r="E224" s="20"/>
      <c r="F224" s="15"/>
      <c r="G224" s="15"/>
      <c r="H224" s="15"/>
      <c r="I224" s="15"/>
      <c r="J224" s="20"/>
      <c r="K224" s="8"/>
      <c r="L224" s="8"/>
    </row>
    <row r="225" spans="1:12">
      <c r="A225" s="8">
        <v>57</v>
      </c>
      <c r="B225" s="8" t="s">
        <v>52</v>
      </c>
      <c r="C225" s="8" t="s">
        <v>12</v>
      </c>
      <c r="D225" s="20">
        <v>23204.66</v>
      </c>
      <c r="E225" s="20">
        <v>531.22</v>
      </c>
      <c r="F225" s="15">
        <v>602.80999999999995</v>
      </c>
      <c r="G225" s="15">
        <v>140.51</v>
      </c>
      <c r="H225" s="15">
        <v>21.8</v>
      </c>
      <c r="I225" s="15"/>
      <c r="J225" s="20">
        <f>SUM(D225:I225)</f>
        <v>24501</v>
      </c>
      <c r="K225" s="8"/>
      <c r="L225" s="8"/>
    </row>
    <row r="226" spans="1:12" ht="15.75" thickBot="1">
      <c r="A226" s="8"/>
      <c r="B226" s="8"/>
      <c r="C226" s="8" t="s">
        <v>13</v>
      </c>
      <c r="D226" s="29">
        <v>507.14</v>
      </c>
      <c r="E226" s="29">
        <v>12.89</v>
      </c>
      <c r="F226" s="28">
        <v>14.37</v>
      </c>
      <c r="G226" s="28">
        <v>3.03</v>
      </c>
      <c r="H226" s="28">
        <v>0.84</v>
      </c>
      <c r="I226" s="28"/>
      <c r="J226" s="29">
        <f>SUM(D226:I226)</f>
        <v>538.27</v>
      </c>
      <c r="K226" s="8"/>
      <c r="L226" s="8"/>
    </row>
    <row r="227" spans="1:12">
      <c r="A227" s="8"/>
      <c r="B227" s="8"/>
      <c r="C227" s="8"/>
      <c r="D227" s="20"/>
      <c r="E227" s="20"/>
      <c r="F227" s="15"/>
      <c r="G227" s="15"/>
      <c r="H227" s="15"/>
      <c r="I227" s="15"/>
      <c r="J227" s="20"/>
      <c r="K227" s="8"/>
      <c r="L227" s="8"/>
    </row>
    <row r="228" spans="1:12" ht="15.75" thickBot="1">
      <c r="A228" s="8"/>
      <c r="B228" s="8"/>
      <c r="C228" s="8" t="s">
        <v>10</v>
      </c>
      <c r="D228" s="31">
        <f t="shared" ref="D228:I228" si="36">SUM(D225:D226)</f>
        <v>23711.8</v>
      </c>
      <c r="E228" s="31">
        <f t="shared" si="36"/>
        <v>544.11</v>
      </c>
      <c r="F228" s="30">
        <f t="shared" si="36"/>
        <v>617.17999999999995</v>
      </c>
      <c r="G228" s="30">
        <f t="shared" si="36"/>
        <v>143.54</v>
      </c>
      <c r="H228" s="30">
        <f t="shared" si="36"/>
        <v>22.64</v>
      </c>
      <c r="I228" s="30">
        <f t="shared" si="36"/>
        <v>0</v>
      </c>
      <c r="J228" s="31">
        <f>SUM(D228:I228)</f>
        <v>25039.27</v>
      </c>
      <c r="K228" s="8"/>
      <c r="L228" s="8"/>
    </row>
    <row r="229" spans="1:12" ht="15.75" thickTop="1">
      <c r="A229" s="8"/>
      <c r="B229" s="8"/>
      <c r="C229" s="8"/>
      <c r="D229" s="20"/>
      <c r="E229" s="20"/>
      <c r="F229" s="15"/>
      <c r="G229" s="15"/>
      <c r="H229" s="15"/>
      <c r="I229" s="15"/>
      <c r="J229" s="20"/>
      <c r="K229" s="8"/>
      <c r="L229" s="8"/>
    </row>
    <row r="230" spans="1:12">
      <c r="A230" s="8"/>
      <c r="B230" s="8"/>
      <c r="C230" s="8"/>
      <c r="D230" s="20"/>
      <c r="E230" s="20"/>
      <c r="F230" s="15"/>
      <c r="G230" s="15"/>
      <c r="H230" s="15"/>
      <c r="I230" s="15"/>
      <c r="J230" s="20"/>
      <c r="K230" s="8"/>
      <c r="L230" s="8"/>
    </row>
    <row r="231" spans="1:12">
      <c r="A231" s="8">
        <v>58</v>
      </c>
      <c r="B231" s="8" t="s">
        <v>53</v>
      </c>
      <c r="C231" s="8" t="s">
        <v>12</v>
      </c>
      <c r="D231" s="20">
        <v>11391.25</v>
      </c>
      <c r="E231" s="20"/>
      <c r="F231" s="15"/>
      <c r="G231" s="15"/>
      <c r="H231" s="15"/>
      <c r="I231" s="15"/>
      <c r="J231" s="20">
        <f>SUM(D231:I231)</f>
        <v>11391.25</v>
      </c>
      <c r="K231" s="8"/>
      <c r="L231" s="8"/>
    </row>
    <row r="232" spans="1:12" ht="15.75" thickBot="1">
      <c r="A232" s="8"/>
      <c r="B232" s="8"/>
      <c r="C232" s="8" t="s">
        <v>13</v>
      </c>
      <c r="D232" s="29"/>
      <c r="E232" s="29"/>
      <c r="F232" s="28"/>
      <c r="G232" s="28"/>
      <c r="H232" s="28"/>
      <c r="I232" s="28"/>
      <c r="J232" s="34">
        <v>0</v>
      </c>
      <c r="K232" s="8"/>
      <c r="L232" s="8"/>
    </row>
    <row r="233" spans="1:12">
      <c r="A233" s="8"/>
      <c r="B233" s="8"/>
      <c r="C233" s="8"/>
      <c r="D233" s="20"/>
      <c r="E233" s="20"/>
      <c r="F233" s="15"/>
      <c r="G233" s="15"/>
      <c r="H233" s="15"/>
      <c r="I233" s="15"/>
      <c r="J233" s="20"/>
      <c r="K233" s="8"/>
      <c r="L233" s="8"/>
    </row>
    <row r="234" spans="1:12" ht="15.75" thickBot="1">
      <c r="A234" s="8"/>
      <c r="B234" s="8"/>
      <c r="C234" s="8" t="s">
        <v>10</v>
      </c>
      <c r="D234" s="31">
        <f t="shared" ref="D234:I234" si="37">SUM(D231:D232)</f>
        <v>11391.25</v>
      </c>
      <c r="E234" s="31">
        <f t="shared" si="37"/>
        <v>0</v>
      </c>
      <c r="F234" s="30">
        <f t="shared" si="37"/>
        <v>0</v>
      </c>
      <c r="G234" s="30">
        <f t="shared" si="37"/>
        <v>0</v>
      </c>
      <c r="H234" s="30">
        <f t="shared" si="37"/>
        <v>0</v>
      </c>
      <c r="I234" s="30">
        <f t="shared" si="37"/>
        <v>0</v>
      </c>
      <c r="J234" s="31">
        <f>SUM(D234:I234)</f>
        <v>11391.25</v>
      </c>
      <c r="K234" s="8"/>
      <c r="L234" s="8"/>
    </row>
    <row r="235" spans="1:12" ht="15.75" thickTop="1">
      <c r="A235" s="8"/>
      <c r="B235" s="8"/>
      <c r="C235" s="8"/>
      <c r="D235" s="20"/>
      <c r="E235" s="20"/>
      <c r="F235" s="15"/>
      <c r="G235" s="15"/>
      <c r="H235" s="15"/>
      <c r="I235" s="15"/>
      <c r="J235" s="20"/>
      <c r="K235" s="8"/>
      <c r="L235" s="8"/>
    </row>
    <row r="236" spans="1:12">
      <c r="A236" s="8"/>
      <c r="B236" s="8"/>
      <c r="C236" s="8"/>
      <c r="D236" s="20"/>
      <c r="E236" s="20"/>
      <c r="F236" s="15"/>
      <c r="G236" s="15"/>
      <c r="H236" s="15"/>
      <c r="I236" s="15"/>
      <c r="J236" s="20"/>
      <c r="K236" s="8"/>
      <c r="L236" s="8"/>
    </row>
    <row r="237" spans="1:12">
      <c r="A237" s="8">
        <v>59</v>
      </c>
      <c r="B237" s="8" t="s">
        <v>54</v>
      </c>
      <c r="C237" s="8" t="s">
        <v>12</v>
      </c>
      <c r="D237" s="20">
        <v>11565.77</v>
      </c>
      <c r="E237" s="20">
        <v>325.08</v>
      </c>
      <c r="F237" s="15">
        <v>44.93</v>
      </c>
      <c r="G237" s="15">
        <v>44.34</v>
      </c>
      <c r="H237" s="15">
        <v>40.85</v>
      </c>
      <c r="I237" s="15"/>
      <c r="J237" s="20">
        <f>SUM(D237:I237)</f>
        <v>12020.970000000001</v>
      </c>
      <c r="K237" s="8"/>
      <c r="L237" s="8"/>
    </row>
    <row r="238" spans="1:12" ht="15.75" thickBot="1">
      <c r="A238" s="8"/>
      <c r="B238" s="8"/>
      <c r="C238" s="8" t="s">
        <v>35</v>
      </c>
      <c r="D238" s="29">
        <v>644.73</v>
      </c>
      <c r="E238" s="29">
        <v>18.54</v>
      </c>
      <c r="F238" s="28">
        <v>2.41</v>
      </c>
      <c r="G238" s="28">
        <v>2.23</v>
      </c>
      <c r="H238" s="28">
        <v>2.36</v>
      </c>
      <c r="I238" s="28"/>
      <c r="J238" s="29">
        <f>SUM(D238:I238)</f>
        <v>670.27</v>
      </c>
      <c r="K238" s="8"/>
      <c r="L238" s="8"/>
    </row>
    <row r="239" spans="1:12">
      <c r="A239" s="8"/>
      <c r="B239" s="8"/>
      <c r="C239" s="8"/>
      <c r="D239" s="20"/>
      <c r="E239" s="20"/>
      <c r="F239" s="15"/>
      <c r="G239" s="15"/>
      <c r="H239" s="15"/>
      <c r="I239" s="15"/>
      <c r="J239" s="20"/>
      <c r="K239" s="8"/>
      <c r="L239" s="8"/>
    </row>
    <row r="240" spans="1:12" ht="15.75" thickBot="1">
      <c r="A240" s="8"/>
      <c r="B240" s="8"/>
      <c r="C240" s="8" t="s">
        <v>10</v>
      </c>
      <c r="D240" s="31">
        <f t="shared" ref="D240:I240" si="38">SUM(D237:D238)</f>
        <v>12210.5</v>
      </c>
      <c r="E240" s="31">
        <f t="shared" si="38"/>
        <v>343.62</v>
      </c>
      <c r="F240" s="30">
        <f t="shared" si="38"/>
        <v>47.34</v>
      </c>
      <c r="G240" s="30">
        <f t="shared" si="38"/>
        <v>46.57</v>
      </c>
      <c r="H240" s="30">
        <f t="shared" si="38"/>
        <v>43.21</v>
      </c>
      <c r="I240" s="30">
        <f t="shared" si="38"/>
        <v>0</v>
      </c>
      <c r="J240" s="31">
        <f>SUM(D240:I240)</f>
        <v>12691.24</v>
      </c>
      <c r="K240" s="8"/>
      <c r="L240" s="8"/>
    </row>
    <row r="241" spans="1:12" ht="15.75" thickTop="1">
      <c r="A241" s="8"/>
      <c r="B241" s="8"/>
      <c r="C241" s="8"/>
      <c r="D241" s="20"/>
      <c r="E241" s="20"/>
      <c r="F241" s="15"/>
      <c r="G241" s="15"/>
      <c r="H241" s="15"/>
      <c r="I241" s="15"/>
      <c r="J241" s="20"/>
      <c r="K241" s="8"/>
      <c r="L241" s="8"/>
    </row>
    <row r="242" spans="1:12">
      <c r="A242" s="8"/>
      <c r="B242" s="8"/>
      <c r="C242" s="8"/>
      <c r="D242" s="20"/>
      <c r="E242" s="20"/>
      <c r="F242" s="15"/>
      <c r="G242" s="15"/>
      <c r="H242" s="15"/>
      <c r="I242" s="15"/>
      <c r="J242" s="20"/>
      <c r="K242" s="8"/>
      <c r="L242" s="8"/>
    </row>
    <row r="243" spans="1:12" ht="15.75" thickBot="1">
      <c r="A243" s="8">
        <v>60</v>
      </c>
      <c r="B243" s="8" t="s">
        <v>55</v>
      </c>
      <c r="C243" s="8" t="s">
        <v>12</v>
      </c>
      <c r="D243" s="29">
        <v>46027.75</v>
      </c>
      <c r="E243" s="29">
        <v>800.84</v>
      </c>
      <c r="F243" s="28">
        <v>268.97000000000003</v>
      </c>
      <c r="G243" s="28">
        <v>129.01</v>
      </c>
      <c r="H243" s="28">
        <v>107.95</v>
      </c>
      <c r="I243" s="28"/>
      <c r="J243" s="29">
        <f>SUM(D243:I243)</f>
        <v>47334.52</v>
      </c>
      <c r="K243" s="8"/>
      <c r="L243" s="8"/>
    </row>
    <row r="244" spans="1:12">
      <c r="A244" s="8"/>
      <c r="B244" s="8"/>
      <c r="C244" s="8"/>
      <c r="D244" s="20"/>
      <c r="E244" s="20"/>
      <c r="F244" s="15"/>
      <c r="G244" s="15"/>
      <c r="H244" s="15"/>
      <c r="I244" s="15"/>
      <c r="J244" s="20"/>
      <c r="K244" s="8"/>
      <c r="L244" s="8"/>
    </row>
    <row r="245" spans="1:12" ht="15.75" thickBot="1">
      <c r="A245" s="8"/>
      <c r="B245" s="8"/>
      <c r="C245" s="8" t="s">
        <v>10</v>
      </c>
      <c r="D245" s="31">
        <f t="shared" ref="D245:I245" si="39">SUM(D243:D244)</f>
        <v>46027.75</v>
      </c>
      <c r="E245" s="31">
        <f t="shared" si="39"/>
        <v>800.84</v>
      </c>
      <c r="F245" s="30">
        <f t="shared" si="39"/>
        <v>268.97000000000003</v>
      </c>
      <c r="G245" s="30">
        <f t="shared" si="39"/>
        <v>129.01</v>
      </c>
      <c r="H245" s="30">
        <f t="shared" si="39"/>
        <v>107.95</v>
      </c>
      <c r="I245" s="30">
        <f t="shared" si="39"/>
        <v>0</v>
      </c>
      <c r="J245" s="31">
        <f>SUM(D245:I245)</f>
        <v>47334.52</v>
      </c>
      <c r="K245" s="8"/>
      <c r="L245" s="8"/>
    </row>
    <row r="246" spans="1:12" ht="15.75" thickTop="1">
      <c r="A246" s="8"/>
      <c r="B246" s="8"/>
      <c r="C246" s="8"/>
      <c r="D246" s="20"/>
      <c r="E246" s="20"/>
      <c r="F246" s="15"/>
      <c r="G246" s="15"/>
      <c r="H246" s="15"/>
      <c r="I246" s="15"/>
      <c r="J246" s="20"/>
      <c r="K246" s="8"/>
      <c r="L246" s="8"/>
    </row>
    <row r="247" spans="1:12">
      <c r="A247" s="8"/>
      <c r="B247" s="8"/>
      <c r="C247" s="8"/>
      <c r="D247" s="20"/>
      <c r="E247" s="20"/>
      <c r="F247" s="15"/>
      <c r="G247" s="15"/>
      <c r="H247" s="15"/>
      <c r="I247" s="15"/>
      <c r="J247" s="20"/>
      <c r="K247" s="8"/>
      <c r="L247" s="8"/>
    </row>
    <row r="248" spans="1:12">
      <c r="A248" s="8">
        <v>61</v>
      </c>
      <c r="B248" s="8" t="s">
        <v>56</v>
      </c>
      <c r="C248" s="8" t="s">
        <v>12</v>
      </c>
      <c r="D248" s="20">
        <v>8903.89</v>
      </c>
      <c r="E248" s="20">
        <v>73.22</v>
      </c>
      <c r="F248" s="15">
        <v>70.22</v>
      </c>
      <c r="G248" s="15">
        <v>70</v>
      </c>
      <c r="H248" s="15">
        <v>70.260000000000005</v>
      </c>
      <c r="I248" s="15"/>
      <c r="J248" s="20">
        <f>SUM(D248:I248)</f>
        <v>9187.5899999999983</v>
      </c>
      <c r="K248" s="8"/>
      <c r="L248" s="8"/>
    </row>
    <row r="249" spans="1:12">
      <c r="A249" s="8"/>
      <c r="B249" s="8"/>
      <c r="C249" s="8" t="s">
        <v>13</v>
      </c>
      <c r="D249" s="20">
        <v>186.51</v>
      </c>
      <c r="E249" s="20">
        <v>1.08</v>
      </c>
      <c r="F249" s="15">
        <v>1.41</v>
      </c>
      <c r="G249" s="15">
        <v>1.1499999999999999</v>
      </c>
      <c r="H249" s="15">
        <v>0.99</v>
      </c>
      <c r="I249" s="15"/>
      <c r="J249" s="20">
        <f>SUM(D249:I249)</f>
        <v>191.14000000000001</v>
      </c>
      <c r="K249" s="8"/>
      <c r="L249" s="8"/>
    </row>
    <row r="250" spans="1:12" ht="15.75" thickBot="1">
      <c r="A250" s="8"/>
      <c r="B250" s="8"/>
      <c r="C250" s="8" t="s">
        <v>99</v>
      </c>
      <c r="D250" s="29">
        <v>757.37</v>
      </c>
      <c r="E250" s="29">
        <v>6.32</v>
      </c>
      <c r="F250" s="28">
        <v>6.09</v>
      </c>
      <c r="G250" s="28"/>
      <c r="H250" s="28"/>
      <c r="I250" s="28"/>
      <c r="J250" s="29">
        <f>SUM(D250:I250)</f>
        <v>769.78000000000009</v>
      </c>
      <c r="K250" s="8"/>
      <c r="L250" s="8"/>
    </row>
    <row r="251" spans="1:12">
      <c r="A251" s="8"/>
      <c r="B251" s="8"/>
      <c r="C251" s="8"/>
      <c r="D251" s="20"/>
      <c r="E251" s="20"/>
      <c r="F251" s="15"/>
      <c r="G251" s="15"/>
      <c r="H251" s="15"/>
      <c r="I251" s="15"/>
      <c r="J251" s="20"/>
      <c r="K251" s="8"/>
      <c r="L251" s="8"/>
    </row>
    <row r="252" spans="1:12" ht="15.75" thickBot="1">
      <c r="A252" s="8"/>
      <c r="B252" s="8"/>
      <c r="C252" s="8" t="s">
        <v>10</v>
      </c>
      <c r="D252" s="31">
        <f t="shared" ref="D252:J252" si="40">SUM(D248:D250)</f>
        <v>9847.77</v>
      </c>
      <c r="E252" s="31">
        <f t="shared" si="40"/>
        <v>80.62</v>
      </c>
      <c r="F252" s="30">
        <f t="shared" si="40"/>
        <v>77.72</v>
      </c>
      <c r="G252" s="30">
        <f t="shared" si="40"/>
        <v>71.150000000000006</v>
      </c>
      <c r="H252" s="30">
        <f t="shared" si="40"/>
        <v>71.25</v>
      </c>
      <c r="I252" s="30">
        <f t="shared" si="40"/>
        <v>0</v>
      </c>
      <c r="J252" s="30">
        <f t="shared" si="40"/>
        <v>10148.509999999998</v>
      </c>
      <c r="K252" s="8"/>
      <c r="L252" s="8"/>
    </row>
    <row r="253" spans="1:12" ht="15.75" thickTop="1">
      <c r="A253" s="8"/>
      <c r="B253" s="8"/>
      <c r="C253" s="8"/>
      <c r="D253" s="20"/>
      <c r="E253" s="20"/>
      <c r="F253" s="15"/>
      <c r="G253" s="15"/>
      <c r="H253" s="15"/>
      <c r="I253" s="15"/>
      <c r="J253" s="20"/>
      <c r="K253" s="8"/>
      <c r="L253" s="8"/>
    </row>
    <row r="254" spans="1:12">
      <c r="A254" s="8"/>
      <c r="B254" s="8"/>
      <c r="C254" s="8"/>
      <c r="D254" s="20"/>
      <c r="E254" s="20"/>
      <c r="F254" s="15"/>
      <c r="G254" s="15"/>
      <c r="H254" s="15"/>
      <c r="I254" s="15"/>
      <c r="J254" s="20"/>
      <c r="K254" s="8"/>
      <c r="L254" s="8"/>
    </row>
    <row r="255" spans="1:12">
      <c r="A255" s="8">
        <v>62</v>
      </c>
      <c r="B255" s="8" t="s">
        <v>57</v>
      </c>
      <c r="C255" s="8" t="s">
        <v>12</v>
      </c>
      <c r="D255" s="20">
        <v>3701.88</v>
      </c>
      <c r="E255" s="20">
        <v>18.64</v>
      </c>
      <c r="F255" s="15"/>
      <c r="G255" s="15"/>
      <c r="H255" s="15"/>
      <c r="I255" s="15"/>
      <c r="J255" s="20">
        <f>SUM(D255:I255)</f>
        <v>3720.52</v>
      </c>
      <c r="K255" s="8"/>
      <c r="L255" s="8"/>
    </row>
    <row r="256" spans="1:12" ht="15.75" thickBot="1">
      <c r="A256" s="8"/>
      <c r="B256" s="8"/>
      <c r="C256" s="8" t="s">
        <v>13</v>
      </c>
      <c r="D256" s="29">
        <v>78.36</v>
      </c>
      <c r="E256" s="29">
        <v>0.42</v>
      </c>
      <c r="F256" s="28"/>
      <c r="G256" s="28"/>
      <c r="H256" s="28"/>
      <c r="I256" s="28"/>
      <c r="J256" s="29">
        <f>SUM(D256:I256)</f>
        <v>78.78</v>
      </c>
      <c r="K256" s="8"/>
      <c r="L256" s="8"/>
    </row>
    <row r="257" spans="1:12">
      <c r="A257" s="8"/>
      <c r="B257" s="8"/>
      <c r="C257" s="8"/>
      <c r="D257" s="20"/>
      <c r="E257" s="20"/>
      <c r="F257" s="15"/>
      <c r="G257" s="15"/>
      <c r="H257" s="15"/>
      <c r="I257" s="15"/>
      <c r="J257" s="20"/>
      <c r="K257" s="8"/>
      <c r="L257" s="8"/>
    </row>
    <row r="258" spans="1:12" ht="15.75" thickBot="1">
      <c r="A258" s="8"/>
      <c r="B258" s="8"/>
      <c r="C258" s="8" t="s">
        <v>10</v>
      </c>
      <c r="D258" s="31">
        <f t="shared" ref="D258:I258" si="41">SUM(D255:D256)</f>
        <v>3780.2400000000002</v>
      </c>
      <c r="E258" s="31">
        <f t="shared" si="41"/>
        <v>19.060000000000002</v>
      </c>
      <c r="F258" s="30">
        <f t="shared" si="41"/>
        <v>0</v>
      </c>
      <c r="G258" s="30">
        <f t="shared" si="41"/>
        <v>0</v>
      </c>
      <c r="H258" s="30">
        <f t="shared" si="41"/>
        <v>0</v>
      </c>
      <c r="I258" s="30">
        <f t="shared" si="41"/>
        <v>0</v>
      </c>
      <c r="J258" s="31">
        <f>SUM(D258:I258)</f>
        <v>3799.3</v>
      </c>
      <c r="K258" s="8"/>
      <c r="L258" s="8"/>
    </row>
    <row r="259" spans="1:12" ht="15.75" thickTop="1">
      <c r="A259" s="8"/>
      <c r="B259" s="8"/>
      <c r="C259" s="8"/>
      <c r="D259" s="20"/>
      <c r="E259" s="20"/>
      <c r="F259" s="15"/>
      <c r="G259" s="15"/>
      <c r="H259" s="15"/>
      <c r="I259" s="15"/>
      <c r="J259" s="20"/>
      <c r="K259" s="8"/>
      <c r="L259" s="8"/>
    </row>
    <row r="260" spans="1:12">
      <c r="A260" s="8"/>
      <c r="B260" s="8"/>
      <c r="C260" s="8"/>
      <c r="D260" s="20"/>
      <c r="E260" s="20"/>
      <c r="F260" s="15"/>
      <c r="G260" s="15"/>
      <c r="H260" s="15"/>
      <c r="I260" s="15"/>
      <c r="J260" s="20"/>
      <c r="K260" s="8"/>
      <c r="L260" s="8"/>
    </row>
    <row r="261" spans="1:12">
      <c r="A261" s="8">
        <v>63</v>
      </c>
      <c r="B261" s="8" t="s">
        <v>58</v>
      </c>
      <c r="C261" s="8" t="s">
        <v>12</v>
      </c>
      <c r="D261" s="20">
        <v>6960.88</v>
      </c>
      <c r="E261" s="20">
        <v>136.44</v>
      </c>
      <c r="F261" s="15">
        <v>22.52</v>
      </c>
      <c r="G261" s="15">
        <v>22.11</v>
      </c>
      <c r="H261" s="15">
        <v>22.07</v>
      </c>
      <c r="I261" s="15"/>
      <c r="J261" s="20">
        <f>SUM(D261:I261)</f>
        <v>7164.0199999999995</v>
      </c>
      <c r="K261" s="8"/>
      <c r="L261" s="8"/>
    </row>
    <row r="262" spans="1:12" ht="15.75" thickBot="1">
      <c r="A262" s="8"/>
      <c r="B262" s="8"/>
      <c r="C262" s="8" t="s">
        <v>13</v>
      </c>
      <c r="D262" s="29">
        <v>610.05999999999995</v>
      </c>
      <c r="E262" s="29">
        <v>12.03</v>
      </c>
      <c r="F262" s="28">
        <v>2.0699999999999998</v>
      </c>
      <c r="G262" s="28">
        <v>1.9</v>
      </c>
      <c r="H262" s="28">
        <v>1.92</v>
      </c>
      <c r="I262" s="28"/>
      <c r="J262" s="29">
        <f>SUM(D262:I262)</f>
        <v>627.9799999999999</v>
      </c>
      <c r="K262" s="8"/>
      <c r="L262" s="8"/>
    </row>
    <row r="263" spans="1:12">
      <c r="A263" s="8"/>
      <c r="B263" s="8"/>
      <c r="C263" s="8"/>
      <c r="D263" s="20"/>
      <c r="E263" s="20"/>
      <c r="F263" s="15"/>
      <c r="G263" s="15"/>
      <c r="H263" s="15"/>
      <c r="I263" s="15"/>
      <c r="J263" s="20"/>
      <c r="K263" s="8"/>
      <c r="L263" s="8"/>
    </row>
    <row r="264" spans="1:12" ht="15.75" thickBot="1">
      <c r="A264" s="8"/>
      <c r="B264" s="8"/>
      <c r="C264" s="8" t="s">
        <v>10</v>
      </c>
      <c r="D264" s="31">
        <f t="shared" ref="D264:I264" si="42">SUM(D261:D262)</f>
        <v>7570.9400000000005</v>
      </c>
      <c r="E264" s="31">
        <f t="shared" si="42"/>
        <v>148.47</v>
      </c>
      <c r="F264" s="30">
        <f t="shared" si="42"/>
        <v>24.59</v>
      </c>
      <c r="G264" s="30">
        <f t="shared" si="42"/>
        <v>24.009999999999998</v>
      </c>
      <c r="H264" s="30">
        <f t="shared" si="42"/>
        <v>23.990000000000002</v>
      </c>
      <c r="I264" s="30">
        <f t="shared" si="42"/>
        <v>0</v>
      </c>
      <c r="J264" s="31">
        <f>SUM(D264:I264)</f>
        <v>7792.0000000000009</v>
      </c>
      <c r="K264" s="8"/>
      <c r="L264" s="8"/>
    </row>
    <row r="265" spans="1:12" ht="15.75" thickTop="1">
      <c r="A265" s="8"/>
      <c r="B265" s="8"/>
      <c r="C265" s="8"/>
      <c r="D265" s="20"/>
      <c r="E265" s="20"/>
      <c r="F265" s="15"/>
      <c r="G265" s="15"/>
      <c r="H265" s="15"/>
      <c r="I265" s="15"/>
      <c r="J265" s="20"/>
      <c r="K265" s="8"/>
      <c r="L265" s="8"/>
    </row>
    <row r="266" spans="1:12">
      <c r="A266" s="8"/>
      <c r="B266" s="8"/>
      <c r="C266" s="8"/>
      <c r="D266" s="20"/>
      <c r="E266" s="20"/>
      <c r="F266" s="15"/>
      <c r="G266" s="15"/>
      <c r="H266" s="15"/>
      <c r="I266" s="15"/>
      <c r="J266" s="20"/>
      <c r="K266" s="8"/>
      <c r="L266" s="8"/>
    </row>
    <row r="267" spans="1:12" ht="15.75" thickBot="1">
      <c r="A267" s="8">
        <v>64</v>
      </c>
      <c r="B267" s="8" t="s">
        <v>59</v>
      </c>
      <c r="C267" s="8" t="s">
        <v>12</v>
      </c>
      <c r="D267" s="29">
        <v>91316.51</v>
      </c>
      <c r="E267" s="29">
        <v>3697.19</v>
      </c>
      <c r="F267" s="28">
        <v>1636.27</v>
      </c>
      <c r="G267" s="28">
        <v>270.93</v>
      </c>
      <c r="H267" s="28">
        <v>106.11</v>
      </c>
      <c r="I267" s="28"/>
      <c r="J267" s="29">
        <f>SUM(D267:I267)</f>
        <v>97027.01</v>
      </c>
      <c r="K267" s="8"/>
      <c r="L267" s="8"/>
    </row>
    <row r="268" spans="1:12">
      <c r="A268" s="8"/>
      <c r="B268" s="8"/>
      <c r="C268" s="8"/>
      <c r="D268" s="20"/>
      <c r="E268" s="20"/>
      <c r="F268" s="15"/>
      <c r="G268" s="15"/>
      <c r="H268" s="15"/>
      <c r="I268" s="15"/>
      <c r="J268" s="20"/>
      <c r="K268" s="8"/>
      <c r="L268" s="8"/>
    </row>
    <row r="269" spans="1:12" ht="15.75" thickBot="1">
      <c r="A269" s="8"/>
      <c r="B269" s="8"/>
      <c r="C269" s="8" t="s">
        <v>10</v>
      </c>
      <c r="D269" s="31">
        <f t="shared" ref="D269:I269" si="43">SUM(D267:D268)</f>
        <v>91316.51</v>
      </c>
      <c r="E269" s="31">
        <f t="shared" si="43"/>
        <v>3697.19</v>
      </c>
      <c r="F269" s="30">
        <f t="shared" si="43"/>
        <v>1636.27</v>
      </c>
      <c r="G269" s="30">
        <f t="shared" si="43"/>
        <v>270.93</v>
      </c>
      <c r="H269" s="30">
        <f t="shared" si="43"/>
        <v>106.11</v>
      </c>
      <c r="I269" s="30">
        <f t="shared" si="43"/>
        <v>0</v>
      </c>
      <c r="J269" s="31">
        <f>SUM(D269:I269)</f>
        <v>97027.01</v>
      </c>
      <c r="K269" s="8"/>
      <c r="L269" s="8"/>
    </row>
    <row r="270" spans="1:12" ht="15.75" thickTop="1">
      <c r="A270" s="8"/>
      <c r="B270" s="8"/>
      <c r="C270" s="8"/>
      <c r="D270" s="20"/>
      <c r="E270" s="20"/>
      <c r="F270" s="15"/>
      <c r="G270" s="15"/>
      <c r="H270" s="15"/>
      <c r="I270" s="15"/>
      <c r="J270" s="20"/>
      <c r="K270" s="8"/>
      <c r="L270" s="8"/>
    </row>
    <row r="271" spans="1:12">
      <c r="A271" s="8"/>
      <c r="B271" s="12"/>
      <c r="C271" s="12"/>
      <c r="D271" s="36"/>
      <c r="E271" s="36"/>
      <c r="F271" s="16"/>
      <c r="G271" s="13"/>
      <c r="H271" s="13"/>
      <c r="I271" s="13"/>
      <c r="J271" s="20"/>
      <c r="K271" s="8"/>
      <c r="L271" s="8"/>
    </row>
    <row r="272" spans="1:12">
      <c r="A272" s="8">
        <v>65</v>
      </c>
      <c r="B272" s="8" t="s">
        <v>60</v>
      </c>
      <c r="C272" s="8" t="s">
        <v>12</v>
      </c>
      <c r="D272" s="20">
        <v>6272</v>
      </c>
      <c r="E272" s="20">
        <v>59.77</v>
      </c>
      <c r="F272" s="15">
        <v>7.74</v>
      </c>
      <c r="G272" s="15"/>
      <c r="H272" s="15"/>
      <c r="I272" s="15"/>
      <c r="J272" s="20">
        <f>SUM(D272:I272)</f>
        <v>6339.51</v>
      </c>
      <c r="K272" s="8"/>
      <c r="L272" s="8"/>
    </row>
    <row r="273" spans="1:12" ht="15.75" thickBot="1">
      <c r="A273" s="8"/>
      <c r="B273" s="8"/>
      <c r="C273" s="8" t="s">
        <v>13</v>
      </c>
      <c r="D273" s="29"/>
      <c r="E273" s="29"/>
      <c r="F273" s="28"/>
      <c r="G273" s="28"/>
      <c r="H273" s="28"/>
      <c r="I273" s="28"/>
      <c r="J273" s="29"/>
      <c r="K273" s="8"/>
      <c r="L273" s="8"/>
    </row>
    <row r="274" spans="1:12">
      <c r="A274" s="8"/>
      <c r="B274" s="8"/>
      <c r="C274" s="8"/>
      <c r="D274" s="20"/>
      <c r="E274" s="20"/>
      <c r="F274" s="15"/>
      <c r="G274" s="15"/>
      <c r="H274" s="15"/>
      <c r="I274" s="15"/>
      <c r="J274" s="20"/>
      <c r="K274" s="8"/>
      <c r="L274" s="8"/>
    </row>
    <row r="275" spans="1:12" ht="15.75" thickBot="1">
      <c r="A275" s="8"/>
      <c r="B275" s="8"/>
      <c r="C275" s="8" t="s">
        <v>10</v>
      </c>
      <c r="D275" s="31">
        <f t="shared" ref="D275:I275" si="44">SUM(D272:D273)</f>
        <v>6272</v>
      </c>
      <c r="E275" s="31">
        <f t="shared" si="44"/>
        <v>59.77</v>
      </c>
      <c r="F275" s="30">
        <f t="shared" si="44"/>
        <v>7.74</v>
      </c>
      <c r="G275" s="30">
        <f t="shared" si="44"/>
        <v>0</v>
      </c>
      <c r="H275" s="30">
        <f t="shared" si="44"/>
        <v>0</v>
      </c>
      <c r="I275" s="30">
        <f t="shared" si="44"/>
        <v>0</v>
      </c>
      <c r="J275" s="31">
        <f>SUM(D275:I275)</f>
        <v>6339.51</v>
      </c>
      <c r="K275" s="8"/>
      <c r="L275" s="8"/>
    </row>
    <row r="276" spans="1:12" ht="15.75" thickTop="1">
      <c r="A276" s="8"/>
      <c r="B276" s="8"/>
      <c r="C276" s="8"/>
      <c r="D276" s="20"/>
      <c r="E276" s="20"/>
      <c r="F276" s="15"/>
      <c r="G276" s="15"/>
      <c r="H276" s="15"/>
      <c r="I276" s="15"/>
      <c r="J276" s="20"/>
      <c r="K276" s="8"/>
      <c r="L276" s="8"/>
    </row>
    <row r="277" spans="1:12">
      <c r="A277" s="8"/>
      <c r="B277" s="8"/>
      <c r="C277" s="8"/>
      <c r="D277" s="20"/>
      <c r="E277" s="20"/>
      <c r="F277" s="15"/>
      <c r="G277" s="15"/>
      <c r="H277" s="15"/>
      <c r="I277" s="15"/>
      <c r="J277" s="20"/>
      <c r="K277" s="8"/>
      <c r="L277" s="8"/>
    </row>
    <row r="278" spans="1:12">
      <c r="A278" s="8">
        <v>66</v>
      </c>
      <c r="B278" s="8" t="s">
        <v>61</v>
      </c>
      <c r="C278" s="8" t="s">
        <v>12</v>
      </c>
      <c r="D278" s="20">
        <v>10122.370000000001</v>
      </c>
      <c r="E278" s="20">
        <v>523.65</v>
      </c>
      <c r="F278" s="15">
        <v>496.02</v>
      </c>
      <c r="G278" s="15">
        <v>56.25</v>
      </c>
      <c r="H278" s="15">
        <v>50.24</v>
      </c>
      <c r="I278" s="15"/>
      <c r="J278" s="20">
        <f>SUM(D278:I278)</f>
        <v>11248.53</v>
      </c>
      <c r="K278" s="8"/>
      <c r="L278" s="8"/>
    </row>
    <row r="279" spans="1:12">
      <c r="A279" s="8"/>
      <c r="B279" s="8"/>
      <c r="C279" s="8" t="s">
        <v>13</v>
      </c>
      <c r="D279" s="20"/>
      <c r="E279" s="20"/>
      <c r="F279" s="15"/>
      <c r="G279" s="15"/>
      <c r="H279" s="15"/>
      <c r="I279" s="15"/>
      <c r="J279" s="35">
        <f>SUM(D279:I279)</f>
        <v>0</v>
      </c>
      <c r="K279" s="8"/>
      <c r="L279" s="8"/>
    </row>
    <row r="280" spans="1:12" ht="15.75" thickBot="1">
      <c r="A280" s="8"/>
      <c r="B280" s="8"/>
      <c r="C280" s="8" t="s">
        <v>73</v>
      </c>
      <c r="D280" s="29">
        <v>682.99</v>
      </c>
      <c r="E280" s="29">
        <v>35.56</v>
      </c>
      <c r="F280" s="28">
        <v>33.6</v>
      </c>
      <c r="G280" s="27">
        <v>3.84</v>
      </c>
      <c r="H280" s="27">
        <v>3.58</v>
      </c>
      <c r="I280" s="27"/>
      <c r="J280" s="29">
        <f>SUM(D280:I280)</f>
        <v>759.57</v>
      </c>
      <c r="K280" s="8"/>
      <c r="L280" s="8"/>
    </row>
    <row r="281" spans="1:12">
      <c r="A281" s="8"/>
      <c r="B281" s="8"/>
      <c r="C281" s="8"/>
      <c r="D281" s="20"/>
      <c r="E281" s="20"/>
      <c r="F281" s="15"/>
      <c r="G281" s="8"/>
      <c r="H281" s="8"/>
      <c r="I281" s="8"/>
      <c r="J281" s="20"/>
      <c r="K281" s="8"/>
      <c r="L281" s="8"/>
    </row>
    <row r="282" spans="1:12" ht="15.75" thickBot="1">
      <c r="A282" s="8"/>
      <c r="B282" s="8"/>
      <c r="C282" s="8" t="s">
        <v>10</v>
      </c>
      <c r="D282" s="31">
        <f t="shared" ref="D282:I282" si="45">SUM(D278:D280)</f>
        <v>10805.36</v>
      </c>
      <c r="E282" s="31">
        <f t="shared" si="45"/>
        <v>559.21</v>
      </c>
      <c r="F282" s="30">
        <f t="shared" si="45"/>
        <v>529.62</v>
      </c>
      <c r="G282" s="30">
        <f t="shared" si="45"/>
        <v>60.09</v>
      </c>
      <c r="H282" s="30">
        <f t="shared" si="45"/>
        <v>53.82</v>
      </c>
      <c r="I282" s="30">
        <f t="shared" si="45"/>
        <v>0</v>
      </c>
      <c r="J282" s="31">
        <f>SUM(D282:I282)</f>
        <v>12008.1</v>
      </c>
      <c r="K282" s="8"/>
      <c r="L282" s="8"/>
    </row>
    <row r="283" spans="1:12" ht="15.75" thickTop="1">
      <c r="A283" s="8"/>
      <c r="B283" s="8"/>
      <c r="C283" s="8"/>
      <c r="D283" s="20"/>
      <c r="E283" s="20"/>
      <c r="F283" s="15"/>
      <c r="G283" s="15"/>
      <c r="H283" s="15"/>
      <c r="I283" s="15"/>
      <c r="J283" s="20"/>
      <c r="K283" s="8"/>
      <c r="L283" s="8"/>
    </row>
    <row r="284" spans="1:12">
      <c r="A284" s="8"/>
      <c r="B284" s="8"/>
      <c r="C284" s="8"/>
      <c r="D284" s="20"/>
      <c r="E284" s="20"/>
      <c r="F284" s="15"/>
      <c r="G284" s="15"/>
      <c r="H284" s="15"/>
      <c r="I284" s="15"/>
      <c r="J284" s="20"/>
      <c r="K284" s="8"/>
      <c r="L284" s="8"/>
    </row>
    <row r="285" spans="1:12">
      <c r="A285" s="8">
        <v>67</v>
      </c>
      <c r="B285" s="8" t="s">
        <v>62</v>
      </c>
      <c r="C285" s="8" t="s">
        <v>12</v>
      </c>
      <c r="D285" s="20">
        <v>7809.31</v>
      </c>
      <c r="E285" s="20">
        <v>77.23</v>
      </c>
      <c r="F285" s="15">
        <v>0.56000000000000005</v>
      </c>
      <c r="G285" s="15">
        <v>0.76</v>
      </c>
      <c r="H285" s="15"/>
      <c r="I285" s="15"/>
      <c r="J285" s="20">
        <f>SUM(D285:I285)</f>
        <v>7887.8600000000006</v>
      </c>
      <c r="K285" s="8"/>
      <c r="L285" s="8"/>
    </row>
    <row r="286" spans="1:12" ht="15.75" thickBot="1">
      <c r="A286" s="8"/>
      <c r="B286" s="8"/>
      <c r="C286" s="8" t="s">
        <v>13</v>
      </c>
      <c r="D286" s="29">
        <v>221.32</v>
      </c>
      <c r="E286" s="29">
        <v>2.27</v>
      </c>
      <c r="F286" s="28">
        <v>0.37</v>
      </c>
      <c r="G286" s="28">
        <v>0.17</v>
      </c>
      <c r="H286" s="28"/>
      <c r="I286" s="28"/>
      <c r="J286" s="29">
        <f>SUM(D286:I286)</f>
        <v>224.13</v>
      </c>
      <c r="K286" s="8"/>
      <c r="L286" s="8"/>
    </row>
    <row r="287" spans="1:12">
      <c r="A287" s="8"/>
      <c r="B287" s="8"/>
      <c r="C287" s="8"/>
      <c r="D287" s="20"/>
      <c r="E287" s="20"/>
      <c r="F287" s="15"/>
      <c r="G287" s="15"/>
      <c r="H287" s="15"/>
      <c r="I287" s="15"/>
      <c r="J287" s="20"/>
      <c r="K287" s="8"/>
      <c r="L287" s="8"/>
    </row>
    <row r="288" spans="1:12" ht="15.75" thickBot="1">
      <c r="A288" s="8"/>
      <c r="B288" s="8"/>
      <c r="C288" s="8" t="s">
        <v>10</v>
      </c>
      <c r="D288" s="31">
        <f t="shared" ref="D288:I288" si="46">SUM(D285:D286)</f>
        <v>8030.63</v>
      </c>
      <c r="E288" s="31">
        <f t="shared" si="46"/>
        <v>79.5</v>
      </c>
      <c r="F288" s="30">
        <f t="shared" si="46"/>
        <v>0.93</v>
      </c>
      <c r="G288" s="30">
        <f t="shared" si="46"/>
        <v>0.93</v>
      </c>
      <c r="H288" s="30">
        <f t="shared" si="46"/>
        <v>0</v>
      </c>
      <c r="I288" s="30">
        <f t="shared" si="46"/>
        <v>0</v>
      </c>
      <c r="J288" s="31">
        <f>SUM(D288:I288)</f>
        <v>8111.9900000000007</v>
      </c>
      <c r="K288" s="8"/>
      <c r="L288" s="8"/>
    </row>
    <row r="289" spans="1:12" ht="15.75" thickTop="1">
      <c r="A289" s="8"/>
      <c r="B289" s="8"/>
      <c r="C289" s="8"/>
      <c r="D289" s="20"/>
      <c r="E289" s="20"/>
      <c r="F289" s="15"/>
      <c r="G289" s="15"/>
      <c r="H289" s="15"/>
      <c r="I289" s="15"/>
      <c r="J289" s="20"/>
      <c r="K289" s="8"/>
      <c r="L289" s="8"/>
    </row>
    <row r="290" spans="1:12">
      <c r="A290" s="8"/>
      <c r="B290" s="8"/>
      <c r="C290" s="8"/>
      <c r="D290" s="20"/>
      <c r="E290" s="20"/>
      <c r="F290" s="15"/>
      <c r="G290" s="15"/>
      <c r="H290" s="15"/>
      <c r="I290" s="15"/>
      <c r="J290" s="20"/>
      <c r="K290" s="8"/>
      <c r="L290" s="8"/>
    </row>
    <row r="291" spans="1:12">
      <c r="A291" s="8">
        <v>68</v>
      </c>
      <c r="B291" s="8" t="s">
        <v>63</v>
      </c>
      <c r="C291" s="8" t="s">
        <v>12</v>
      </c>
      <c r="D291" s="20">
        <v>7469.18</v>
      </c>
      <c r="E291" s="20">
        <v>241.33</v>
      </c>
      <c r="F291" s="15">
        <v>235.16</v>
      </c>
      <c r="G291" s="15">
        <v>139.96</v>
      </c>
      <c r="H291" s="15"/>
      <c r="I291" s="15"/>
      <c r="J291" s="20">
        <f>SUM(D291:I291)</f>
        <v>8085.63</v>
      </c>
      <c r="K291" s="8"/>
      <c r="L291" s="8"/>
    </row>
    <row r="292" spans="1:12" ht="15.75" thickBot="1">
      <c r="A292" s="8"/>
      <c r="B292" s="8"/>
      <c r="C292" s="8" t="s">
        <v>13</v>
      </c>
      <c r="D292" s="29"/>
      <c r="E292" s="29"/>
      <c r="F292" s="28"/>
      <c r="G292" s="28"/>
      <c r="H292" s="28"/>
      <c r="I292" s="28"/>
      <c r="J292" s="29"/>
      <c r="K292" s="8"/>
      <c r="L292" s="8"/>
    </row>
    <row r="293" spans="1:12">
      <c r="A293" s="8"/>
      <c r="B293" s="8"/>
      <c r="C293" s="8"/>
      <c r="D293" s="20"/>
      <c r="E293" s="20"/>
      <c r="F293" s="15"/>
      <c r="G293" s="15"/>
      <c r="H293" s="15"/>
      <c r="I293" s="15"/>
      <c r="J293" s="20"/>
      <c r="K293" s="8"/>
      <c r="L293" s="8"/>
    </row>
    <row r="294" spans="1:12" ht="15.75" thickBot="1">
      <c r="A294" s="8"/>
      <c r="B294" s="8"/>
      <c r="C294" s="8" t="s">
        <v>10</v>
      </c>
      <c r="D294" s="31">
        <f t="shared" ref="D294:I294" si="47">SUM(D291:D292)</f>
        <v>7469.18</v>
      </c>
      <c r="E294" s="31">
        <f t="shared" si="47"/>
        <v>241.33</v>
      </c>
      <c r="F294" s="30">
        <f t="shared" si="47"/>
        <v>235.16</v>
      </c>
      <c r="G294" s="30">
        <f t="shared" si="47"/>
        <v>139.96</v>
      </c>
      <c r="H294" s="30">
        <f t="shared" si="47"/>
        <v>0</v>
      </c>
      <c r="I294" s="30">
        <f t="shared" si="47"/>
        <v>0</v>
      </c>
      <c r="J294" s="31">
        <f>SUM(D294:I294)</f>
        <v>8085.63</v>
      </c>
      <c r="K294" s="8"/>
      <c r="L294" s="8"/>
    </row>
    <row r="295" spans="1:12" ht="15.75" thickTop="1">
      <c r="A295" s="8"/>
      <c r="B295" s="8"/>
      <c r="C295" s="8"/>
      <c r="D295" s="20"/>
      <c r="E295" s="20"/>
      <c r="F295" s="15"/>
      <c r="G295" s="15"/>
      <c r="H295" s="15"/>
      <c r="I295" s="15"/>
      <c r="J295" s="20"/>
      <c r="K295" s="8"/>
      <c r="L295" s="8"/>
    </row>
    <row r="296" spans="1:12">
      <c r="A296" s="8"/>
      <c r="B296" s="8"/>
      <c r="C296" s="8"/>
      <c r="D296" s="20"/>
      <c r="E296" s="20"/>
      <c r="F296" s="15"/>
      <c r="G296" s="15"/>
      <c r="H296" s="15"/>
      <c r="I296" s="15"/>
      <c r="J296" s="20"/>
      <c r="K296" s="8"/>
      <c r="L296" s="8"/>
    </row>
    <row r="297" spans="1:12">
      <c r="A297" s="8">
        <v>69</v>
      </c>
      <c r="B297" s="8" t="s">
        <v>64</v>
      </c>
      <c r="C297" s="8" t="s">
        <v>12</v>
      </c>
      <c r="D297" s="20">
        <v>7690.13</v>
      </c>
      <c r="E297" s="20">
        <v>309.41000000000003</v>
      </c>
      <c r="F297" s="15">
        <v>24.29</v>
      </c>
      <c r="G297" s="15">
        <v>17.93</v>
      </c>
      <c r="H297" s="15">
        <v>4.32</v>
      </c>
      <c r="I297" s="15"/>
      <c r="J297" s="20">
        <f>SUM(D297:I297)</f>
        <v>8046.08</v>
      </c>
      <c r="K297" s="8"/>
      <c r="L297" s="8"/>
    </row>
    <row r="298" spans="1:12" ht="15.75" thickBot="1">
      <c r="A298" s="8"/>
      <c r="B298" s="8"/>
      <c r="C298" s="8" t="s">
        <v>13</v>
      </c>
      <c r="D298" s="29"/>
      <c r="E298" s="29"/>
      <c r="F298" s="28"/>
      <c r="G298" s="28"/>
      <c r="H298" s="28"/>
      <c r="I298" s="28"/>
      <c r="J298" s="34">
        <v>0</v>
      </c>
      <c r="K298" s="8"/>
      <c r="L298" s="8"/>
    </row>
    <row r="299" spans="1:12">
      <c r="A299" s="8"/>
      <c r="B299" s="8"/>
      <c r="C299" s="8"/>
      <c r="D299" s="20"/>
      <c r="E299" s="20"/>
      <c r="F299" s="15"/>
      <c r="G299" s="15"/>
      <c r="H299" s="15"/>
      <c r="I299" s="15"/>
      <c r="J299" s="20"/>
      <c r="K299" s="8"/>
      <c r="L299" s="8"/>
    </row>
    <row r="300" spans="1:12" ht="15.75" thickBot="1">
      <c r="A300" s="8"/>
      <c r="B300" s="8"/>
      <c r="C300" s="8" t="s">
        <v>10</v>
      </c>
      <c r="D300" s="31">
        <f t="shared" ref="D300:I300" si="48">SUM(D297:D298)</f>
        <v>7690.13</v>
      </c>
      <c r="E300" s="31">
        <f t="shared" si="48"/>
        <v>309.41000000000003</v>
      </c>
      <c r="F300" s="30">
        <f t="shared" si="48"/>
        <v>24.29</v>
      </c>
      <c r="G300" s="30">
        <f t="shared" si="48"/>
        <v>17.93</v>
      </c>
      <c r="H300" s="30">
        <f t="shared" si="48"/>
        <v>4.32</v>
      </c>
      <c r="I300" s="30">
        <f t="shared" si="48"/>
        <v>0</v>
      </c>
      <c r="J300" s="31">
        <f>SUM(D300:I300)</f>
        <v>8046.08</v>
      </c>
      <c r="K300" s="8"/>
      <c r="L300" s="8"/>
    </row>
    <row r="301" spans="1:12" ht="15.75" thickTop="1">
      <c r="A301" s="8"/>
      <c r="B301" s="8"/>
      <c r="C301" s="8"/>
      <c r="D301" s="20"/>
      <c r="E301" s="20"/>
      <c r="F301" s="15"/>
      <c r="G301" s="15"/>
      <c r="H301" s="15"/>
      <c r="I301" s="15"/>
      <c r="J301" s="20"/>
      <c r="K301" s="8"/>
      <c r="L301" s="8"/>
    </row>
    <row r="302" spans="1:12">
      <c r="A302" s="8"/>
      <c r="B302" s="8"/>
      <c r="C302" s="8"/>
      <c r="D302" s="20"/>
      <c r="E302" s="20"/>
      <c r="F302" s="15"/>
      <c r="G302" s="15"/>
      <c r="H302" s="15"/>
      <c r="I302" s="15"/>
      <c r="J302" s="20"/>
      <c r="K302" s="8"/>
      <c r="L302" s="8"/>
    </row>
    <row r="303" spans="1:12">
      <c r="A303" s="8">
        <v>70</v>
      </c>
      <c r="B303" s="8" t="s">
        <v>65</v>
      </c>
      <c r="C303" s="8" t="s">
        <v>12</v>
      </c>
      <c r="D303" s="20">
        <v>7669.72</v>
      </c>
      <c r="E303" s="20">
        <v>189.8</v>
      </c>
      <c r="F303" s="15">
        <v>176.88</v>
      </c>
      <c r="G303" s="15">
        <v>86.81</v>
      </c>
      <c r="H303" s="15"/>
      <c r="I303" s="15"/>
      <c r="J303" s="20">
        <f>SUM(D303:I303)</f>
        <v>8123.2100000000009</v>
      </c>
      <c r="K303" s="8"/>
      <c r="L303" s="8"/>
    </row>
    <row r="304" spans="1:12" ht="15.75" thickBot="1">
      <c r="A304" s="8"/>
      <c r="B304" s="8"/>
      <c r="C304" s="8" t="s">
        <v>78</v>
      </c>
      <c r="D304" s="29"/>
      <c r="E304" s="29"/>
      <c r="F304" s="28"/>
      <c r="G304" s="28"/>
      <c r="H304" s="28"/>
      <c r="I304" s="28"/>
      <c r="J304" s="29">
        <f>SUM(D304:I304)</f>
        <v>0</v>
      </c>
      <c r="K304" s="8"/>
      <c r="L304" s="8"/>
    </row>
    <row r="305" spans="1:12">
      <c r="A305" s="8"/>
      <c r="B305" s="8"/>
      <c r="C305" s="8"/>
      <c r="D305" s="20"/>
      <c r="E305" s="20"/>
      <c r="F305" s="15"/>
      <c r="G305" s="15"/>
      <c r="H305" s="15"/>
      <c r="I305" s="15"/>
      <c r="J305" s="20"/>
      <c r="K305" s="8"/>
      <c r="L305" s="8"/>
    </row>
    <row r="306" spans="1:12" ht="15.75" thickBot="1">
      <c r="A306" s="8"/>
      <c r="B306" s="8"/>
      <c r="C306" s="8" t="s">
        <v>10</v>
      </c>
      <c r="D306" s="31">
        <f t="shared" ref="D306:I306" si="49">SUM(D303:D305)</f>
        <v>7669.72</v>
      </c>
      <c r="E306" s="31">
        <f t="shared" si="49"/>
        <v>189.8</v>
      </c>
      <c r="F306" s="30">
        <f t="shared" si="49"/>
        <v>176.88</v>
      </c>
      <c r="G306" s="30">
        <f t="shared" si="49"/>
        <v>86.81</v>
      </c>
      <c r="H306" s="30">
        <f t="shared" si="49"/>
        <v>0</v>
      </c>
      <c r="I306" s="30">
        <f t="shared" si="49"/>
        <v>0</v>
      </c>
      <c r="J306" s="31">
        <f>SUM(D306:I306)</f>
        <v>8123.2100000000009</v>
      </c>
      <c r="K306" s="8"/>
      <c r="L306" s="8"/>
    </row>
    <row r="307" spans="1:12" ht="15.75" thickTop="1">
      <c r="A307" s="8"/>
      <c r="B307" s="8"/>
      <c r="C307" s="8"/>
      <c r="D307" s="20"/>
      <c r="E307" s="20"/>
      <c r="F307" s="15"/>
      <c r="G307" s="15"/>
      <c r="H307" s="15"/>
      <c r="I307" s="15"/>
      <c r="J307" s="20"/>
      <c r="K307" s="8"/>
      <c r="L307" s="8"/>
    </row>
    <row r="308" spans="1:12">
      <c r="A308" s="8"/>
      <c r="B308" s="8"/>
      <c r="C308" s="8" t="s">
        <v>66</v>
      </c>
      <c r="D308" s="20">
        <f t="shared" ref="D308:I308" si="50">SUM(D9:D306)/2</f>
        <v>565631.90999999968</v>
      </c>
      <c r="E308" s="20">
        <f t="shared" si="50"/>
        <v>14665.920000000004</v>
      </c>
      <c r="F308" s="15">
        <f t="shared" si="50"/>
        <v>7744.670000000001</v>
      </c>
      <c r="G308" s="15">
        <f t="shared" si="50"/>
        <v>3006.5300000000007</v>
      </c>
      <c r="H308" s="15">
        <f t="shared" si="50"/>
        <v>1813.39</v>
      </c>
      <c r="I308" s="15">
        <f t="shared" si="50"/>
        <v>1.33</v>
      </c>
      <c r="J308" s="20">
        <f>SUM(D308:I308)</f>
        <v>592863.74999999977</v>
      </c>
      <c r="K308" s="8"/>
      <c r="L308" s="8"/>
    </row>
    <row r="309" spans="1:12">
      <c r="A309" s="8"/>
      <c r="B309" s="8"/>
      <c r="C309" s="8"/>
      <c r="D309" s="20"/>
      <c r="E309" s="20"/>
      <c r="F309" s="15"/>
      <c r="G309" s="8"/>
      <c r="H309" s="8"/>
      <c r="I309" s="8"/>
      <c r="J309" s="20"/>
      <c r="K309" s="8"/>
      <c r="L309" s="8"/>
    </row>
    <row r="310" spans="1:12">
      <c r="A310" s="8"/>
      <c r="B310" s="8"/>
      <c r="C310" s="8"/>
      <c r="D310" s="20"/>
      <c r="E310" s="20"/>
      <c r="F310" s="8"/>
      <c r="G310" s="8"/>
      <c r="H310" s="8"/>
      <c r="I310" s="8"/>
      <c r="J310" s="20"/>
      <c r="K310" s="8"/>
      <c r="L310" s="8"/>
    </row>
  </sheetData>
  <phoneticPr fontId="0" type="noConversion"/>
  <pageMargins left="0.25" right="0.25" top="0.25" bottom="0.25" header="0.5" footer="0.5"/>
  <pageSetup scale="70" fitToHeight="50" orientation="landscape" r:id="rId1"/>
  <headerFooter alignWithMargins="0"/>
  <rowBreaks count="51" manualBreakCount="51">
    <brk id="7" max="65535" man="1"/>
    <brk id="13" max="9" man="1"/>
    <brk id="18" max="65535" man="1"/>
    <brk id="24" max="65535" man="1"/>
    <brk id="30" max="65535" man="1"/>
    <brk id="36" max="65535" man="1"/>
    <brk id="43" max="65535" man="1"/>
    <brk id="49" max="65535" man="1"/>
    <brk id="56" max="65535" man="1"/>
    <brk id="62" max="65535" man="1"/>
    <brk id="68" max="65535" man="1"/>
    <brk id="75" max="65535" man="1"/>
    <brk id="82" max="65535" man="1"/>
    <brk id="89" max="65535" man="1"/>
    <brk id="94" max="65535" man="1"/>
    <brk id="100" max="65535" man="1"/>
    <brk id="105" max="65535" man="1"/>
    <brk id="111" max="65535" man="1"/>
    <brk id="118" max="65535" man="1"/>
    <brk id="123" max="9" man="1"/>
    <brk id="128" max="65535" man="1"/>
    <brk id="134" max="65535" man="1"/>
    <brk id="141" max="65535" man="1"/>
    <brk id="148" max="9" man="1"/>
    <brk id="154" max="9" man="1"/>
    <brk id="158" max="9" man="1"/>
    <brk id="163" max="65535" man="1"/>
    <brk id="168" max="65535" man="1"/>
    <brk id="173" max="65535" man="1"/>
    <brk id="179" max="65535" man="1"/>
    <brk id="186" max="65535" man="1"/>
    <brk id="192" max="65535" man="1"/>
    <brk id="198" max="65535" man="1"/>
    <brk id="206" max="16383" man="1"/>
    <brk id="211" max="16383" man="1"/>
    <brk id="217" max="16383" man="1"/>
    <brk id="223" max="16383" man="1"/>
    <brk id="229" max="16383" man="1"/>
    <brk id="235" max="16383" man="1"/>
    <brk id="241" max="16383" man="1"/>
    <brk id="246" max="16383" man="1"/>
    <brk id="253" max="16383" man="1"/>
    <brk id="259" max="16383" man="1"/>
    <brk id="265" max="16383" man="1"/>
    <brk id="270" max="16383" man="1"/>
    <brk id="276" max="16383" man="1"/>
    <brk id="283" max="16383" man="1"/>
    <brk id="289" max="16383" man="1"/>
    <brk id="295" max="16383" man="1"/>
    <brk id="300" max="16383" man="1"/>
    <brk id="30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L311"/>
  <sheetViews>
    <sheetView showOutlineSymbols="0" defaultGridColor="0" view="pageBreakPreview" topLeftCell="A280" colorId="23" zoomScale="60" zoomScaleNormal="75" workbookViewId="0">
      <selection activeCell="G209" sqref="G209"/>
    </sheetView>
  </sheetViews>
  <sheetFormatPr defaultColWidth="9.6640625" defaultRowHeight="15"/>
  <cols>
    <col min="1" max="1" width="9.6640625" style="10" customWidth="1"/>
    <col min="2" max="2" width="27.44140625" style="10" bestFit="1" customWidth="1"/>
    <col min="3" max="3" width="24.44140625" style="10" bestFit="1" customWidth="1"/>
    <col min="4" max="5" width="12.77734375" style="23" customWidth="1"/>
    <col min="6" max="6" width="12.6640625" style="10" customWidth="1"/>
    <col min="7" max="8" width="11.6640625" style="10" customWidth="1"/>
    <col min="9" max="9" width="9.6640625" style="10" customWidth="1"/>
    <col min="10" max="10" width="14.44140625" style="23" customWidth="1"/>
    <col min="11" max="16384" width="9.6640625" style="10"/>
  </cols>
  <sheetData>
    <row r="1" spans="1:12">
      <c r="A1" s="8"/>
      <c r="B1" s="8"/>
      <c r="C1" s="8"/>
      <c r="D1" s="20"/>
      <c r="E1" s="20"/>
      <c r="F1" s="8"/>
      <c r="G1" s="8"/>
      <c r="H1" s="8"/>
      <c r="I1" s="9"/>
      <c r="J1" s="20"/>
      <c r="K1" s="8"/>
      <c r="L1" s="8"/>
    </row>
    <row r="2" spans="1:12">
      <c r="A2" s="8"/>
      <c r="B2" s="8"/>
      <c r="C2" s="8"/>
      <c r="D2" s="20"/>
      <c r="E2" s="20"/>
      <c r="F2" s="8"/>
      <c r="G2" s="8"/>
      <c r="H2" s="8"/>
      <c r="I2" s="8"/>
      <c r="J2" s="20"/>
      <c r="K2" s="8"/>
      <c r="L2" s="8"/>
    </row>
    <row r="3" spans="1:12">
      <c r="A3" s="8"/>
      <c r="B3" s="8" t="s">
        <v>103</v>
      </c>
      <c r="C3" s="8"/>
      <c r="D3" s="20"/>
      <c r="E3" s="20"/>
      <c r="F3" s="8"/>
      <c r="G3" s="8"/>
      <c r="H3" s="8"/>
      <c r="I3" s="8"/>
      <c r="J3" s="20"/>
      <c r="K3" s="8"/>
      <c r="L3" s="8"/>
    </row>
    <row r="4" spans="1:12" ht="15.75">
      <c r="A4" s="8"/>
      <c r="B4" s="11" t="s">
        <v>1</v>
      </c>
      <c r="C4" s="9"/>
      <c r="D4" s="21"/>
      <c r="E4" s="21"/>
      <c r="F4" s="9"/>
      <c r="G4" s="9"/>
      <c r="H4" s="9"/>
      <c r="I4" s="9"/>
      <c r="J4" s="21"/>
      <c r="K4" s="8"/>
      <c r="L4" s="8"/>
    </row>
    <row r="5" spans="1:12" ht="15.75">
      <c r="A5" s="8"/>
      <c r="B5" s="11" t="s">
        <v>102</v>
      </c>
      <c r="C5" s="9"/>
      <c r="D5" s="21"/>
      <c r="E5" s="21"/>
      <c r="F5" s="9"/>
      <c r="G5" s="9"/>
      <c r="H5" s="9"/>
      <c r="I5" s="9"/>
      <c r="J5" s="21"/>
      <c r="K5" s="8"/>
      <c r="L5" s="8"/>
    </row>
    <row r="6" spans="1:12">
      <c r="A6" s="8"/>
      <c r="B6" s="8"/>
      <c r="C6" s="8"/>
      <c r="D6" s="20"/>
      <c r="E6" s="20"/>
      <c r="F6" s="8"/>
      <c r="G6" s="8"/>
      <c r="H6" s="8"/>
      <c r="I6" s="8"/>
      <c r="J6" s="20"/>
      <c r="K6" s="8"/>
      <c r="L6" s="8"/>
    </row>
    <row r="7" spans="1:12">
      <c r="A7" s="8"/>
      <c r="B7" s="12" t="s">
        <v>3</v>
      </c>
      <c r="C7" s="12" t="s">
        <v>4</v>
      </c>
      <c r="D7" s="37">
        <v>2005</v>
      </c>
      <c r="E7" s="37">
        <v>2004</v>
      </c>
      <c r="F7" s="13">
        <v>2003</v>
      </c>
      <c r="G7" s="13">
        <v>2002</v>
      </c>
      <c r="H7" s="13">
        <v>2001</v>
      </c>
      <c r="I7" s="14">
        <v>2000</v>
      </c>
      <c r="J7" s="22" t="s">
        <v>10</v>
      </c>
      <c r="K7" s="8"/>
      <c r="L7" s="8"/>
    </row>
    <row r="8" spans="1:12">
      <c r="A8" s="8"/>
      <c r="B8" s="8"/>
      <c r="C8" s="8"/>
      <c r="D8" s="20"/>
      <c r="E8" s="20"/>
      <c r="F8" s="8"/>
      <c r="G8" s="8"/>
      <c r="H8" s="8"/>
      <c r="I8" s="8"/>
      <c r="J8" s="20"/>
      <c r="K8" s="8"/>
      <c r="L8" s="8"/>
    </row>
    <row r="9" spans="1:12">
      <c r="A9" s="8">
        <v>21</v>
      </c>
      <c r="B9" s="8" t="s">
        <v>11</v>
      </c>
      <c r="C9" s="8" t="s">
        <v>12</v>
      </c>
      <c r="D9" s="20">
        <v>6927.37</v>
      </c>
      <c r="E9" s="20">
        <v>55.19</v>
      </c>
      <c r="F9" s="15">
        <v>3.56</v>
      </c>
      <c r="G9" s="15">
        <v>3.4</v>
      </c>
      <c r="H9" s="15"/>
      <c r="I9" s="15"/>
      <c r="J9" s="20">
        <f>SUM(D9:I9)</f>
        <v>6989.5199999999995</v>
      </c>
      <c r="K9" s="8"/>
      <c r="L9" s="8"/>
    </row>
    <row r="10" spans="1:12" ht="15.75" thickBot="1">
      <c r="A10" s="8"/>
      <c r="B10" s="8"/>
      <c r="C10" s="8" t="s">
        <v>13</v>
      </c>
      <c r="D10" s="29">
        <v>176.99</v>
      </c>
      <c r="E10" s="29">
        <v>1.45</v>
      </c>
      <c r="F10" s="28">
        <v>0.09</v>
      </c>
      <c r="G10" s="28">
        <v>0.08</v>
      </c>
      <c r="H10" s="28"/>
      <c r="I10" s="28"/>
      <c r="J10" s="29">
        <f>SUM(D10:I10)</f>
        <v>178.61</v>
      </c>
      <c r="K10" s="8"/>
      <c r="L10" s="8"/>
    </row>
    <row r="11" spans="1:12">
      <c r="A11" s="8"/>
      <c r="B11" s="8"/>
      <c r="C11" s="8"/>
      <c r="D11" s="20"/>
      <c r="E11" s="20"/>
      <c r="F11" s="15"/>
      <c r="G11" s="15"/>
      <c r="H11" s="15"/>
      <c r="I11" s="15"/>
      <c r="J11" s="20"/>
      <c r="K11" s="8"/>
      <c r="L11" s="8"/>
    </row>
    <row r="12" spans="1:12" ht="15.75" thickBot="1">
      <c r="A12" s="8"/>
      <c r="B12" s="8"/>
      <c r="C12" s="8" t="s">
        <v>10</v>
      </c>
      <c r="D12" s="31">
        <f t="shared" ref="D12:I12" si="0">SUM(D9:D10)</f>
        <v>7104.36</v>
      </c>
      <c r="E12" s="31">
        <f t="shared" si="0"/>
        <v>56.64</v>
      </c>
      <c r="F12" s="30">
        <f t="shared" si="0"/>
        <v>3.65</v>
      </c>
      <c r="G12" s="30">
        <f t="shared" si="0"/>
        <v>3.48</v>
      </c>
      <c r="H12" s="30">
        <f t="shared" si="0"/>
        <v>0</v>
      </c>
      <c r="I12" s="30">
        <f t="shared" si="0"/>
        <v>0</v>
      </c>
      <c r="J12" s="31">
        <f>SUM(D12:I12)</f>
        <v>7168.1299999999992</v>
      </c>
      <c r="K12" s="8"/>
      <c r="L12" s="8"/>
    </row>
    <row r="13" spans="1:12" ht="15.75" thickTop="1">
      <c r="A13" s="8"/>
      <c r="B13" s="8"/>
      <c r="C13" s="8"/>
      <c r="D13" s="20"/>
      <c r="E13" s="20"/>
      <c r="F13" s="15"/>
      <c r="G13" s="8"/>
      <c r="H13" s="8"/>
      <c r="I13" s="8"/>
      <c r="J13" s="20"/>
      <c r="K13" s="8"/>
      <c r="L13" s="8"/>
    </row>
    <row r="14" spans="1:12">
      <c r="A14" s="8">
        <v>22</v>
      </c>
      <c r="B14" s="8" t="s">
        <v>15</v>
      </c>
      <c r="C14" s="8" t="s">
        <v>12</v>
      </c>
      <c r="D14" s="20">
        <v>10335.799999999999</v>
      </c>
      <c r="E14" s="20">
        <v>127.72</v>
      </c>
      <c r="F14" s="15">
        <v>87.62</v>
      </c>
      <c r="G14" s="15">
        <v>18.190000000000001</v>
      </c>
      <c r="H14" s="15"/>
      <c r="I14" s="15"/>
      <c r="J14" s="20">
        <f>SUM(D14:I14)</f>
        <v>10569.33</v>
      </c>
      <c r="K14" s="8"/>
      <c r="L14" s="8"/>
    </row>
    <row r="15" spans="1:12" ht="15.75" thickBot="1">
      <c r="A15" s="8"/>
      <c r="B15" s="8"/>
      <c r="C15" s="8" t="s">
        <v>13</v>
      </c>
      <c r="D15" s="29">
        <v>569.46</v>
      </c>
      <c r="E15" s="29">
        <v>7.08</v>
      </c>
      <c r="F15" s="28">
        <v>4.96</v>
      </c>
      <c r="G15" s="28">
        <v>1.65</v>
      </c>
      <c r="H15" s="28"/>
      <c r="I15" s="28"/>
      <c r="J15" s="29">
        <f>SUM(D15:I15)</f>
        <v>583.15000000000009</v>
      </c>
      <c r="K15" s="8"/>
      <c r="L15" s="8"/>
    </row>
    <row r="16" spans="1:12">
      <c r="A16" s="8"/>
      <c r="B16" s="8"/>
      <c r="C16" s="8"/>
      <c r="D16" s="20"/>
      <c r="E16" s="20"/>
      <c r="F16" s="15"/>
      <c r="G16" s="15"/>
      <c r="H16" s="15"/>
      <c r="I16" s="15"/>
      <c r="J16" s="20"/>
      <c r="K16" s="8"/>
      <c r="L16" s="8"/>
    </row>
    <row r="17" spans="1:12" ht="15.75" thickBot="1">
      <c r="A17" s="8"/>
      <c r="B17" s="8"/>
      <c r="C17" s="8" t="s">
        <v>10</v>
      </c>
      <c r="D17" s="31">
        <f t="shared" ref="D17:I17" si="1">SUM(D14:D15)</f>
        <v>10905.259999999998</v>
      </c>
      <c r="E17" s="31">
        <f t="shared" si="1"/>
        <v>134.80000000000001</v>
      </c>
      <c r="F17" s="30">
        <f t="shared" si="1"/>
        <v>92.58</v>
      </c>
      <c r="G17" s="30">
        <f t="shared" si="1"/>
        <v>19.84</v>
      </c>
      <c r="H17" s="30">
        <f t="shared" si="1"/>
        <v>0</v>
      </c>
      <c r="I17" s="30">
        <f t="shared" si="1"/>
        <v>0</v>
      </c>
      <c r="J17" s="31">
        <f>SUM(D17:I17)</f>
        <v>11152.479999999998</v>
      </c>
      <c r="K17" s="8"/>
      <c r="L17" s="8"/>
    </row>
    <row r="18" spans="1:12" ht="15.75" thickTop="1">
      <c r="A18" s="8"/>
      <c r="B18" s="8"/>
      <c r="C18" s="8"/>
      <c r="D18" s="20"/>
      <c r="E18" s="20"/>
      <c r="F18" s="15"/>
      <c r="G18" s="15"/>
      <c r="H18" s="15"/>
      <c r="I18" s="15"/>
      <c r="J18" s="20"/>
      <c r="K18" s="8"/>
      <c r="L18" s="8"/>
    </row>
    <row r="19" spans="1:12">
      <c r="A19" s="8">
        <v>23</v>
      </c>
      <c r="B19" s="8" t="s">
        <v>16</v>
      </c>
      <c r="C19" s="8" t="s">
        <v>12</v>
      </c>
      <c r="D19" s="20">
        <v>6787.44</v>
      </c>
      <c r="E19" s="20">
        <v>824.43</v>
      </c>
      <c r="F19" s="15">
        <v>484.19</v>
      </c>
      <c r="G19" s="15">
        <v>367.15</v>
      </c>
      <c r="H19" s="15">
        <v>374.34</v>
      </c>
      <c r="I19" s="15"/>
      <c r="J19" s="20">
        <f>SUM(D19:I19)</f>
        <v>8837.5499999999993</v>
      </c>
      <c r="K19" s="8"/>
      <c r="L19" s="8"/>
    </row>
    <row r="20" spans="1:12" ht="15.75" thickBot="1">
      <c r="A20" s="8"/>
      <c r="B20" s="8"/>
      <c r="C20" s="8" t="s">
        <v>13</v>
      </c>
      <c r="D20" s="29"/>
      <c r="E20" s="29"/>
      <c r="F20" s="28"/>
      <c r="G20" s="28"/>
      <c r="H20" s="28"/>
      <c r="I20" s="28"/>
      <c r="J20" s="29">
        <f>SUM(D20:I20)</f>
        <v>0</v>
      </c>
      <c r="K20" s="8"/>
      <c r="L20" s="8"/>
    </row>
    <row r="21" spans="1:12">
      <c r="A21" s="8"/>
      <c r="B21" s="8"/>
      <c r="C21" s="8"/>
      <c r="D21" s="20"/>
      <c r="E21" s="20"/>
      <c r="F21" s="15"/>
      <c r="G21" s="15"/>
      <c r="H21" s="15"/>
      <c r="I21" s="15"/>
      <c r="J21" s="20"/>
      <c r="K21" s="8"/>
      <c r="L21" s="8"/>
    </row>
    <row r="22" spans="1:12" ht="15.75" thickBot="1">
      <c r="A22" s="8"/>
      <c r="B22" s="8"/>
      <c r="C22" s="8" t="s">
        <v>10</v>
      </c>
      <c r="D22" s="31">
        <f t="shared" ref="D22:I22" si="2">SUM(D19:D20)</f>
        <v>6787.44</v>
      </c>
      <c r="E22" s="31">
        <f t="shared" si="2"/>
        <v>824.43</v>
      </c>
      <c r="F22" s="30">
        <f t="shared" si="2"/>
        <v>484.19</v>
      </c>
      <c r="G22" s="30">
        <f t="shared" si="2"/>
        <v>367.15</v>
      </c>
      <c r="H22" s="30">
        <f t="shared" si="2"/>
        <v>374.34</v>
      </c>
      <c r="I22" s="30">
        <f t="shared" si="2"/>
        <v>0</v>
      </c>
      <c r="J22" s="31">
        <f>SUM(D22:I22)</f>
        <v>8837.5499999999993</v>
      </c>
      <c r="K22" s="8"/>
      <c r="L22" s="8"/>
    </row>
    <row r="23" spans="1:12" ht="15.75" thickTop="1">
      <c r="A23" s="8"/>
      <c r="B23" s="8"/>
      <c r="C23" s="8"/>
      <c r="D23" s="20"/>
      <c r="E23" s="20"/>
      <c r="F23" s="15"/>
      <c r="G23" s="15"/>
      <c r="H23" s="15"/>
      <c r="I23" s="15"/>
      <c r="J23" s="20"/>
      <c r="K23" s="8"/>
      <c r="L23" s="8"/>
    </row>
    <row r="24" spans="1:12">
      <c r="A24" s="8"/>
      <c r="B24" s="8"/>
      <c r="C24" s="8"/>
      <c r="D24" s="20"/>
      <c r="E24" s="20"/>
      <c r="F24" s="15"/>
      <c r="G24" s="8"/>
      <c r="H24" s="8"/>
      <c r="I24" s="8"/>
      <c r="J24" s="20"/>
      <c r="K24" s="8"/>
      <c r="L24" s="8"/>
    </row>
    <row r="25" spans="1:12">
      <c r="A25" s="8"/>
      <c r="B25" s="8"/>
      <c r="C25" s="8"/>
      <c r="D25" s="20"/>
      <c r="E25" s="20"/>
      <c r="F25" s="15"/>
      <c r="G25" s="15"/>
      <c r="H25" s="15"/>
      <c r="I25" s="15"/>
      <c r="J25" s="20"/>
      <c r="K25" s="8"/>
      <c r="L25" s="8"/>
    </row>
    <row r="26" spans="1:12" ht="15.75" thickBot="1">
      <c r="A26" s="8">
        <v>24</v>
      </c>
      <c r="B26" s="8" t="s">
        <v>17</v>
      </c>
      <c r="C26" s="8" t="s">
        <v>12</v>
      </c>
      <c r="D26" s="29">
        <v>6069.33</v>
      </c>
      <c r="E26" s="29">
        <v>48.57</v>
      </c>
      <c r="F26" s="28"/>
      <c r="G26" s="28"/>
      <c r="H26" s="28"/>
      <c r="I26" s="28"/>
      <c r="J26" s="29">
        <f>SUM(D26:I26)</f>
        <v>6117.9</v>
      </c>
      <c r="K26" s="8"/>
      <c r="L26" s="8"/>
    </row>
    <row r="27" spans="1:12">
      <c r="A27" s="8"/>
      <c r="B27" s="8"/>
      <c r="C27" s="8"/>
      <c r="D27" s="20"/>
      <c r="E27" s="20"/>
      <c r="F27" s="15"/>
      <c r="G27" s="15"/>
      <c r="H27" s="15"/>
      <c r="I27" s="15"/>
      <c r="J27" s="20"/>
      <c r="K27" s="8"/>
      <c r="L27" s="8"/>
    </row>
    <row r="28" spans="1:12" ht="15.75" thickBot="1">
      <c r="A28" s="8"/>
      <c r="B28" s="8"/>
      <c r="C28" s="8" t="s">
        <v>10</v>
      </c>
      <c r="D28" s="31">
        <f t="shared" ref="D28:I28" si="3">SUM(D26:D27)</f>
        <v>6069.33</v>
      </c>
      <c r="E28" s="31">
        <f t="shared" si="3"/>
        <v>48.57</v>
      </c>
      <c r="F28" s="30">
        <f t="shared" si="3"/>
        <v>0</v>
      </c>
      <c r="G28" s="30">
        <f t="shared" si="3"/>
        <v>0</v>
      </c>
      <c r="H28" s="30">
        <f t="shared" si="3"/>
        <v>0</v>
      </c>
      <c r="I28" s="30">
        <f t="shared" si="3"/>
        <v>0</v>
      </c>
      <c r="J28" s="31">
        <f>SUM(D28:I28)</f>
        <v>6117.9</v>
      </c>
      <c r="K28" s="8"/>
      <c r="L28" s="8"/>
    </row>
    <row r="29" spans="1:12" ht="15.75" thickTop="1">
      <c r="A29" s="8"/>
      <c r="B29" s="8"/>
      <c r="C29" s="8"/>
      <c r="D29" s="20"/>
      <c r="E29" s="20"/>
      <c r="F29" s="15"/>
      <c r="G29" s="15"/>
      <c r="H29" s="15"/>
      <c r="I29" s="15"/>
      <c r="J29" s="20"/>
      <c r="K29" s="8"/>
      <c r="L29" s="8"/>
    </row>
    <row r="30" spans="1:12">
      <c r="A30" s="8"/>
      <c r="B30" s="8"/>
      <c r="C30" s="8"/>
      <c r="D30" s="20"/>
      <c r="E30" s="20"/>
      <c r="F30" s="15"/>
      <c r="G30" s="8"/>
      <c r="H30" s="8"/>
      <c r="I30" s="8"/>
      <c r="J30" s="20"/>
      <c r="K30" s="8"/>
      <c r="L30" s="8"/>
    </row>
    <row r="31" spans="1:12">
      <c r="A31" s="8"/>
      <c r="B31" s="8"/>
      <c r="C31" s="8"/>
      <c r="D31" s="20"/>
      <c r="E31" s="20"/>
      <c r="F31" s="15"/>
      <c r="G31" s="15"/>
      <c r="H31" s="15"/>
      <c r="I31" s="15"/>
      <c r="J31" s="20"/>
      <c r="K31" s="8"/>
      <c r="L31" s="8"/>
    </row>
    <row r="32" spans="1:12" ht="15.75" thickBot="1">
      <c r="A32" s="8">
        <v>25</v>
      </c>
      <c r="B32" s="8" t="s">
        <v>18</v>
      </c>
      <c r="C32" s="8" t="s">
        <v>12</v>
      </c>
      <c r="D32" s="29">
        <v>19555.11</v>
      </c>
      <c r="E32" s="29">
        <v>236.15</v>
      </c>
      <c r="F32" s="28">
        <v>44.75</v>
      </c>
      <c r="G32" s="28"/>
      <c r="H32" s="28"/>
      <c r="I32" s="28"/>
      <c r="J32" s="29">
        <f>SUM(D32:I32)</f>
        <v>19836.010000000002</v>
      </c>
      <c r="K32" s="8"/>
      <c r="L32" s="8"/>
    </row>
    <row r="33" spans="1:12">
      <c r="A33" s="8"/>
      <c r="B33" s="8"/>
      <c r="C33" s="8"/>
      <c r="D33" s="20"/>
      <c r="E33" s="20"/>
      <c r="F33" s="15"/>
      <c r="G33" s="15"/>
      <c r="H33" s="15"/>
      <c r="I33" s="15"/>
      <c r="J33" s="20"/>
      <c r="K33" s="8"/>
      <c r="L33" s="8"/>
    </row>
    <row r="34" spans="1:12" ht="15.75" thickBot="1">
      <c r="A34" s="8"/>
      <c r="B34" s="8"/>
      <c r="C34" s="8" t="s">
        <v>10</v>
      </c>
      <c r="D34" s="31">
        <f t="shared" ref="D34:I34" si="4">SUM(D32:D33)</f>
        <v>19555.11</v>
      </c>
      <c r="E34" s="31">
        <f t="shared" si="4"/>
        <v>236.15</v>
      </c>
      <c r="F34" s="30">
        <f t="shared" si="4"/>
        <v>44.75</v>
      </c>
      <c r="G34" s="30">
        <f t="shared" si="4"/>
        <v>0</v>
      </c>
      <c r="H34" s="30">
        <f t="shared" si="4"/>
        <v>0</v>
      </c>
      <c r="I34" s="30">
        <f t="shared" si="4"/>
        <v>0</v>
      </c>
      <c r="J34" s="31">
        <f>SUM(D34:I34)</f>
        <v>19836.010000000002</v>
      </c>
      <c r="K34" s="8"/>
      <c r="L34" s="8"/>
    </row>
    <row r="35" spans="1:12" ht="15.75" thickTop="1">
      <c r="A35" s="8"/>
      <c r="B35" s="8"/>
      <c r="C35" s="8"/>
      <c r="D35" s="20"/>
      <c r="E35" s="20"/>
      <c r="F35" s="15"/>
      <c r="G35" s="8"/>
      <c r="H35" s="8"/>
      <c r="I35" s="8"/>
      <c r="J35" s="20"/>
      <c r="K35" s="8"/>
      <c r="L35" s="8"/>
    </row>
    <row r="36" spans="1:12">
      <c r="A36" s="8"/>
      <c r="B36" s="8"/>
      <c r="C36" s="8"/>
      <c r="D36" s="20"/>
      <c r="E36" s="20"/>
      <c r="F36" s="15"/>
      <c r="G36" s="15"/>
      <c r="H36" s="15"/>
      <c r="I36" s="15"/>
      <c r="J36" s="20"/>
      <c r="K36" s="8"/>
      <c r="L36" s="8"/>
    </row>
    <row r="37" spans="1:12">
      <c r="A37" s="8"/>
      <c r="B37" s="8"/>
      <c r="C37" s="8"/>
      <c r="D37" s="20"/>
      <c r="E37" s="20"/>
      <c r="F37" s="15"/>
      <c r="G37" s="15"/>
      <c r="H37" s="15"/>
      <c r="I37" s="15"/>
      <c r="J37" s="20"/>
      <c r="K37" s="8"/>
      <c r="L37" s="8"/>
    </row>
    <row r="38" spans="1:12">
      <c r="A38" s="8">
        <v>26</v>
      </c>
      <c r="B38" s="8" t="s">
        <v>19</v>
      </c>
      <c r="C38" s="8" t="s">
        <v>12</v>
      </c>
      <c r="D38" s="20">
        <v>6923.26</v>
      </c>
      <c r="E38" s="20">
        <v>212.23</v>
      </c>
      <c r="F38" s="15">
        <v>211.51</v>
      </c>
      <c r="G38" s="15">
        <v>211.79</v>
      </c>
      <c r="H38" s="15">
        <v>79.349999999999994</v>
      </c>
      <c r="I38" s="15"/>
      <c r="J38" s="20">
        <f>SUM(D38:I38)</f>
        <v>7638.14</v>
      </c>
      <c r="K38" s="8"/>
      <c r="L38" s="8"/>
    </row>
    <row r="39" spans="1:12" ht="15.75" thickBot="1">
      <c r="A39" s="8"/>
      <c r="B39" s="8"/>
      <c r="C39" s="8" t="s">
        <v>13</v>
      </c>
      <c r="D39" s="29">
        <v>118.73</v>
      </c>
      <c r="E39" s="29">
        <v>3.82</v>
      </c>
      <c r="F39" s="28">
        <v>3.75</v>
      </c>
      <c r="G39" s="28">
        <v>3.66</v>
      </c>
      <c r="H39" s="28">
        <v>1.79</v>
      </c>
      <c r="I39" s="28"/>
      <c r="J39" s="29">
        <f>SUM(D39:I39)</f>
        <v>131.75</v>
      </c>
      <c r="K39" s="8"/>
      <c r="L39" s="8"/>
    </row>
    <row r="40" spans="1:12">
      <c r="A40" s="8"/>
      <c r="B40" s="8"/>
      <c r="C40" s="8"/>
      <c r="D40" s="20"/>
      <c r="E40" s="20"/>
      <c r="F40" s="15"/>
      <c r="G40" s="15"/>
      <c r="H40" s="15"/>
      <c r="I40" s="15"/>
      <c r="J40" s="20"/>
      <c r="K40" s="8"/>
      <c r="L40" s="8"/>
    </row>
    <row r="41" spans="1:12" ht="15.75" thickBot="1">
      <c r="A41" s="8"/>
      <c r="B41" s="8"/>
      <c r="C41" s="8" t="s">
        <v>10</v>
      </c>
      <c r="D41" s="31">
        <f t="shared" ref="D41:I41" si="5">SUM(D38:D39)</f>
        <v>7041.99</v>
      </c>
      <c r="E41" s="31">
        <f t="shared" si="5"/>
        <v>216.04999999999998</v>
      </c>
      <c r="F41" s="30">
        <f t="shared" si="5"/>
        <v>215.26</v>
      </c>
      <c r="G41" s="30">
        <f t="shared" si="5"/>
        <v>215.45</v>
      </c>
      <c r="H41" s="30">
        <f t="shared" si="5"/>
        <v>81.14</v>
      </c>
      <c r="I41" s="30">
        <f t="shared" si="5"/>
        <v>0</v>
      </c>
      <c r="J41" s="31">
        <f>SUM(D41:I41)</f>
        <v>7769.89</v>
      </c>
      <c r="K41" s="8"/>
      <c r="L41" s="8"/>
    </row>
    <row r="42" spans="1:12" ht="15.75" thickTop="1">
      <c r="A42" s="8"/>
      <c r="B42" s="8"/>
      <c r="C42" s="8"/>
      <c r="D42" s="20"/>
      <c r="E42" s="20"/>
      <c r="F42" s="15"/>
      <c r="G42" s="15"/>
      <c r="H42" s="15"/>
      <c r="I42" s="15"/>
      <c r="J42" s="20"/>
      <c r="K42" s="8"/>
      <c r="L42" s="8"/>
    </row>
    <row r="43" spans="1:12">
      <c r="A43" s="8"/>
      <c r="B43" s="8"/>
      <c r="C43" s="8"/>
      <c r="D43" s="20"/>
      <c r="E43" s="20"/>
      <c r="F43" s="15"/>
      <c r="G43" s="15"/>
      <c r="H43" s="15"/>
      <c r="I43" s="15"/>
      <c r="J43" s="20"/>
      <c r="K43" s="8"/>
      <c r="L43" s="8"/>
    </row>
    <row r="44" spans="1:12" ht="15.75" thickBot="1">
      <c r="A44" s="8">
        <v>27</v>
      </c>
      <c r="B44" s="8" t="s">
        <v>20</v>
      </c>
      <c r="C44" s="8" t="s">
        <v>12</v>
      </c>
      <c r="D44" s="29">
        <v>8688.2900000000009</v>
      </c>
      <c r="E44" s="29">
        <v>95.49</v>
      </c>
      <c r="F44" s="28">
        <v>85.46</v>
      </c>
      <c r="G44" s="28"/>
      <c r="H44" s="28"/>
      <c r="I44" s="28"/>
      <c r="J44" s="29">
        <f>SUM(D44:I44)</f>
        <v>8869.24</v>
      </c>
      <c r="K44" s="8"/>
      <c r="L44" s="8"/>
    </row>
    <row r="45" spans="1:12">
      <c r="A45" s="8"/>
      <c r="B45" s="8"/>
      <c r="C45" s="8"/>
      <c r="D45" s="20"/>
      <c r="E45" s="20"/>
      <c r="F45" s="15"/>
      <c r="G45" s="15"/>
      <c r="H45" s="15"/>
      <c r="I45" s="15"/>
      <c r="J45" s="20"/>
      <c r="K45" s="8"/>
      <c r="L45" s="8"/>
    </row>
    <row r="46" spans="1:12" ht="15.75" thickBot="1">
      <c r="A46" s="8"/>
      <c r="B46" s="8"/>
      <c r="C46" s="8" t="s">
        <v>10</v>
      </c>
      <c r="D46" s="31">
        <f t="shared" ref="D46:I46" si="6">SUM(D44:D45)</f>
        <v>8688.2900000000009</v>
      </c>
      <c r="E46" s="31">
        <f t="shared" si="6"/>
        <v>95.49</v>
      </c>
      <c r="F46" s="30">
        <f t="shared" si="6"/>
        <v>85.46</v>
      </c>
      <c r="G46" s="30">
        <f t="shared" si="6"/>
        <v>0</v>
      </c>
      <c r="H46" s="30">
        <f t="shared" si="6"/>
        <v>0</v>
      </c>
      <c r="I46" s="30">
        <f t="shared" si="6"/>
        <v>0</v>
      </c>
      <c r="J46" s="31">
        <f>SUM(D46:I46)</f>
        <v>8869.24</v>
      </c>
      <c r="K46" s="8"/>
      <c r="L46" s="8"/>
    </row>
    <row r="47" spans="1:12" ht="15.75" thickTop="1">
      <c r="A47" s="8"/>
      <c r="B47" s="8"/>
      <c r="C47" s="8"/>
      <c r="D47" s="20"/>
      <c r="E47" s="20"/>
      <c r="F47" s="15"/>
      <c r="G47" s="8"/>
      <c r="H47" s="8"/>
      <c r="I47" s="8"/>
      <c r="J47" s="20"/>
      <c r="K47" s="8"/>
      <c r="L47" s="8"/>
    </row>
    <row r="48" spans="1:12">
      <c r="A48" s="8"/>
      <c r="B48" s="8"/>
      <c r="C48" s="8"/>
      <c r="D48" s="20"/>
      <c r="E48" s="20"/>
      <c r="F48" s="15"/>
      <c r="G48" s="8"/>
      <c r="H48" s="8"/>
      <c r="I48" s="8"/>
      <c r="J48" s="20"/>
      <c r="K48" s="8"/>
      <c r="L48" s="8"/>
    </row>
    <row r="49" spans="1:12">
      <c r="A49" s="8"/>
      <c r="B49" s="8"/>
      <c r="C49" s="8"/>
      <c r="D49" s="20"/>
      <c r="E49" s="20"/>
      <c r="F49" s="15"/>
      <c r="G49" s="15"/>
      <c r="H49" s="15"/>
      <c r="I49" s="15"/>
      <c r="J49" s="20"/>
      <c r="K49" s="8"/>
      <c r="L49" s="8"/>
    </row>
    <row r="50" spans="1:12">
      <c r="A50" s="8"/>
      <c r="B50" s="8"/>
      <c r="C50" s="8"/>
      <c r="D50" s="20"/>
      <c r="E50" s="20"/>
      <c r="F50" s="15"/>
      <c r="G50" s="15"/>
      <c r="H50" s="15"/>
      <c r="I50" s="15"/>
      <c r="J50" s="20"/>
      <c r="K50" s="8"/>
      <c r="L50" s="8"/>
    </row>
    <row r="51" spans="1:12">
      <c r="A51" s="8">
        <v>28</v>
      </c>
      <c r="B51" s="8" t="s">
        <v>21</v>
      </c>
      <c r="C51" s="8" t="s">
        <v>12</v>
      </c>
      <c r="D51" s="20">
        <v>5932.51</v>
      </c>
      <c r="E51" s="20">
        <v>218.96</v>
      </c>
      <c r="F51" s="15"/>
      <c r="G51" s="15"/>
      <c r="H51" s="15"/>
      <c r="I51" s="15"/>
      <c r="J51" s="20">
        <f>SUM(D51:I51)</f>
        <v>6151.47</v>
      </c>
      <c r="K51" s="8"/>
      <c r="L51" s="8"/>
    </row>
    <row r="52" spans="1:12" ht="15.75" thickBot="1">
      <c r="A52" s="8"/>
      <c r="B52" s="8"/>
      <c r="C52" s="8" t="s">
        <v>13</v>
      </c>
      <c r="D52" s="29">
        <v>176.15</v>
      </c>
      <c r="E52" s="29">
        <v>6.48</v>
      </c>
      <c r="F52" s="28"/>
      <c r="G52" s="28"/>
      <c r="H52" s="28"/>
      <c r="I52" s="28"/>
      <c r="J52" s="29">
        <f>SUM(D52:I52)</f>
        <v>182.63</v>
      </c>
      <c r="K52" s="8"/>
      <c r="L52" s="8"/>
    </row>
    <row r="53" spans="1:12">
      <c r="A53" s="8"/>
      <c r="B53" s="8"/>
      <c r="C53" s="8"/>
      <c r="D53" s="20"/>
      <c r="E53" s="20"/>
      <c r="F53" s="15"/>
      <c r="G53" s="15"/>
      <c r="H53" s="15"/>
      <c r="I53" s="15"/>
      <c r="J53" s="20"/>
      <c r="K53" s="8"/>
      <c r="L53" s="8"/>
    </row>
    <row r="54" spans="1:12" ht="15.75" thickBot="1">
      <c r="A54" s="8"/>
      <c r="B54" s="8"/>
      <c r="C54" s="8" t="s">
        <v>10</v>
      </c>
      <c r="D54" s="31">
        <f t="shared" ref="D54:I54" si="7">SUM(D51:D52)</f>
        <v>6108.66</v>
      </c>
      <c r="E54" s="31">
        <f t="shared" si="7"/>
        <v>225.44</v>
      </c>
      <c r="F54" s="30">
        <f t="shared" si="7"/>
        <v>0</v>
      </c>
      <c r="G54" s="30">
        <f t="shared" si="7"/>
        <v>0</v>
      </c>
      <c r="H54" s="30">
        <f t="shared" si="7"/>
        <v>0</v>
      </c>
      <c r="I54" s="30">
        <f t="shared" si="7"/>
        <v>0</v>
      </c>
      <c r="J54" s="31">
        <f>SUM(D54:I54)</f>
        <v>6334.0999999999995</v>
      </c>
      <c r="K54" s="8"/>
      <c r="L54" s="8"/>
    </row>
    <row r="55" spans="1:12" ht="15.75" thickTop="1">
      <c r="A55" s="8"/>
      <c r="B55" s="8"/>
      <c r="C55" s="8"/>
      <c r="D55" s="20"/>
      <c r="E55" s="20"/>
      <c r="F55" s="15"/>
      <c r="G55" s="15"/>
      <c r="H55" s="15"/>
      <c r="I55" s="15"/>
      <c r="J55" s="20"/>
      <c r="K55" s="8"/>
      <c r="L55" s="8"/>
    </row>
    <row r="56" spans="1:12">
      <c r="A56" s="8"/>
      <c r="B56" s="8"/>
      <c r="C56" s="8"/>
      <c r="D56" s="20"/>
      <c r="E56" s="20"/>
      <c r="F56" s="15"/>
      <c r="G56" s="15"/>
      <c r="H56" s="15"/>
      <c r="I56" s="15"/>
      <c r="J56" s="20"/>
      <c r="K56" s="8"/>
      <c r="L56" s="8"/>
    </row>
    <row r="57" spans="1:12">
      <c r="A57" s="8">
        <v>29</v>
      </c>
      <c r="B57" s="8" t="s">
        <v>22</v>
      </c>
      <c r="C57" s="8" t="s">
        <v>12</v>
      </c>
      <c r="D57" s="20">
        <v>9131.41</v>
      </c>
      <c r="E57" s="20"/>
      <c r="F57" s="15"/>
      <c r="G57" s="15"/>
      <c r="H57" s="15"/>
      <c r="I57" s="15"/>
      <c r="J57" s="20">
        <f>SUM(D57:I57)</f>
        <v>9131.41</v>
      </c>
      <c r="K57" s="8"/>
      <c r="L57" s="8"/>
    </row>
    <row r="58" spans="1:12">
      <c r="A58" s="8"/>
      <c r="B58" s="8"/>
      <c r="C58" s="8" t="s">
        <v>35</v>
      </c>
      <c r="D58" s="20">
        <v>470.18</v>
      </c>
      <c r="E58" s="20"/>
      <c r="F58" s="15"/>
      <c r="G58" s="15"/>
      <c r="H58" s="15"/>
      <c r="I58" s="15"/>
      <c r="J58" s="20">
        <f>SUM(D58:I58)</f>
        <v>470.18</v>
      </c>
      <c r="K58" s="8"/>
      <c r="L58" s="8"/>
    </row>
    <row r="59" spans="1:12">
      <c r="A59" s="8"/>
      <c r="B59" s="8"/>
      <c r="C59" s="8" t="s">
        <v>13</v>
      </c>
      <c r="D59" s="20">
        <v>704.98</v>
      </c>
      <c r="E59" s="20"/>
      <c r="F59" s="15"/>
      <c r="G59" s="15"/>
      <c r="H59" s="15"/>
      <c r="I59" s="15"/>
      <c r="J59" s="20">
        <f>SUM(D59:I59)</f>
        <v>704.98</v>
      </c>
      <c r="K59" s="8"/>
      <c r="L59" s="8"/>
    </row>
    <row r="60" spans="1:12" ht="15.75" thickBot="1">
      <c r="A60" s="8"/>
      <c r="B60" s="8"/>
      <c r="C60" s="8" t="s">
        <v>78</v>
      </c>
      <c r="D60" s="29">
        <v>1057.71</v>
      </c>
      <c r="E60" s="29"/>
      <c r="F60" s="28"/>
      <c r="G60" s="28"/>
      <c r="H60" s="28"/>
      <c r="I60" s="28"/>
      <c r="J60" s="29">
        <f>SUM(D60:I60)</f>
        <v>1057.71</v>
      </c>
      <c r="K60" s="8"/>
      <c r="L60" s="8"/>
    </row>
    <row r="61" spans="1:12">
      <c r="A61" s="8"/>
      <c r="B61" s="8"/>
      <c r="C61" s="8"/>
      <c r="D61" s="20"/>
      <c r="E61" s="20"/>
      <c r="F61" s="15"/>
      <c r="G61" s="15"/>
      <c r="H61" s="15"/>
      <c r="I61" s="15"/>
      <c r="J61" s="20"/>
      <c r="K61" s="8"/>
      <c r="L61" s="8"/>
    </row>
    <row r="62" spans="1:12" ht="15.75" thickBot="1">
      <c r="A62" s="8"/>
      <c r="B62" s="8"/>
      <c r="C62" s="8" t="s">
        <v>10</v>
      </c>
      <c r="D62" s="31">
        <f t="shared" ref="D62:I62" si="8">SUM(D57:D60)</f>
        <v>11364.279999999999</v>
      </c>
      <c r="E62" s="31">
        <f t="shared" si="8"/>
        <v>0</v>
      </c>
      <c r="F62" s="30">
        <f t="shared" si="8"/>
        <v>0</v>
      </c>
      <c r="G62" s="30">
        <f t="shared" si="8"/>
        <v>0</v>
      </c>
      <c r="H62" s="30">
        <f t="shared" si="8"/>
        <v>0</v>
      </c>
      <c r="I62" s="30">
        <f t="shared" si="8"/>
        <v>0</v>
      </c>
      <c r="J62" s="31">
        <f>SUM(D62:I62)</f>
        <v>11364.279999999999</v>
      </c>
      <c r="K62" s="8"/>
      <c r="L62" s="8"/>
    </row>
    <row r="63" spans="1:12" ht="15.75" thickTop="1">
      <c r="A63" s="8"/>
      <c r="B63" s="8"/>
      <c r="C63" s="8"/>
      <c r="D63" s="20"/>
      <c r="E63" s="20"/>
      <c r="F63" s="15"/>
      <c r="G63" s="15"/>
      <c r="H63" s="15"/>
      <c r="I63" s="15"/>
      <c r="J63" s="20"/>
      <c r="K63" s="8"/>
      <c r="L63" s="8"/>
    </row>
    <row r="64" spans="1:12">
      <c r="A64" s="8">
        <v>30</v>
      </c>
      <c r="B64" s="8" t="s">
        <v>23</v>
      </c>
      <c r="C64" s="8" t="s">
        <v>12</v>
      </c>
      <c r="D64" s="20">
        <v>5782.57</v>
      </c>
      <c r="E64" s="20">
        <v>134.30000000000001</v>
      </c>
      <c r="F64" s="15">
        <v>16.309999999999999</v>
      </c>
      <c r="G64" s="15">
        <v>16.16</v>
      </c>
      <c r="H64" s="15"/>
      <c r="I64" s="15"/>
      <c r="J64" s="20">
        <f>SUM(D64:I64)</f>
        <v>5949.34</v>
      </c>
      <c r="K64" s="8"/>
      <c r="L64" s="8"/>
    </row>
    <row r="65" spans="1:12" ht="15.75" thickBot="1">
      <c r="A65" s="8"/>
      <c r="B65" s="8"/>
      <c r="C65" s="8" t="s">
        <v>13</v>
      </c>
      <c r="D65" s="29"/>
      <c r="E65" s="29"/>
      <c r="F65" s="28"/>
      <c r="G65" s="28"/>
      <c r="H65" s="28"/>
      <c r="I65" s="28"/>
      <c r="J65" s="29"/>
      <c r="K65" s="8"/>
      <c r="L65" s="8"/>
    </row>
    <row r="66" spans="1:12">
      <c r="A66" s="8"/>
      <c r="B66" s="8"/>
      <c r="C66" s="8"/>
      <c r="D66" s="20"/>
      <c r="E66" s="20"/>
      <c r="F66" s="15"/>
      <c r="G66" s="15"/>
      <c r="H66" s="15"/>
      <c r="I66" s="15"/>
      <c r="J66" s="20"/>
      <c r="K66" s="8"/>
      <c r="L66" s="8"/>
    </row>
    <row r="67" spans="1:12" ht="15.75" thickBot="1">
      <c r="A67" s="8"/>
      <c r="B67" s="8"/>
      <c r="C67" s="15" t="s">
        <v>10</v>
      </c>
      <c r="D67" s="31">
        <f t="shared" ref="D67:I67" si="9">SUM(D64:D65)</f>
        <v>5782.57</v>
      </c>
      <c r="E67" s="31">
        <f t="shared" si="9"/>
        <v>134.30000000000001</v>
      </c>
      <c r="F67" s="30">
        <f t="shared" si="9"/>
        <v>16.309999999999999</v>
      </c>
      <c r="G67" s="30">
        <f t="shared" si="9"/>
        <v>16.16</v>
      </c>
      <c r="H67" s="30">
        <f t="shared" si="9"/>
        <v>0</v>
      </c>
      <c r="I67" s="30">
        <f t="shared" si="9"/>
        <v>0</v>
      </c>
      <c r="J67" s="31">
        <f>SUM(D67:I67)</f>
        <v>5949.34</v>
      </c>
      <c r="K67" s="8"/>
      <c r="L67" s="8"/>
    </row>
    <row r="68" spans="1:12" ht="15.75" thickTop="1">
      <c r="A68" s="8"/>
      <c r="B68" s="8"/>
      <c r="C68" s="8"/>
      <c r="D68" s="20"/>
      <c r="E68" s="20"/>
      <c r="F68" s="15"/>
      <c r="G68" s="15"/>
      <c r="H68" s="15"/>
      <c r="I68" s="15"/>
      <c r="J68" s="20"/>
      <c r="K68" s="8"/>
      <c r="L68" s="8"/>
    </row>
    <row r="69" spans="1:12">
      <c r="A69" s="8"/>
      <c r="B69" s="8"/>
      <c r="C69" s="8"/>
      <c r="D69" s="20"/>
      <c r="E69" s="20"/>
      <c r="F69" s="15"/>
      <c r="G69" s="15"/>
      <c r="H69" s="15"/>
      <c r="I69" s="15"/>
      <c r="J69" s="20"/>
      <c r="K69" s="8"/>
      <c r="L69" s="8"/>
    </row>
    <row r="70" spans="1:12">
      <c r="A70" s="8">
        <v>31</v>
      </c>
      <c r="B70" s="8" t="s">
        <v>24</v>
      </c>
      <c r="C70" s="8" t="s">
        <v>12</v>
      </c>
      <c r="D70" s="20">
        <v>2290.4</v>
      </c>
      <c r="E70" s="20">
        <v>1.1100000000000001</v>
      </c>
      <c r="F70" s="15"/>
      <c r="G70" s="15"/>
      <c r="H70" s="15"/>
      <c r="I70" s="15"/>
      <c r="J70" s="20">
        <f>SUM(D70:I70)</f>
        <v>2291.5100000000002</v>
      </c>
      <c r="K70" s="8"/>
      <c r="L70" s="8"/>
    </row>
    <row r="71" spans="1:12" ht="15.75" thickBot="1">
      <c r="A71" s="8"/>
      <c r="B71" s="8"/>
      <c r="C71" s="8" t="s">
        <v>13</v>
      </c>
      <c r="D71" s="29">
        <v>84.22</v>
      </c>
      <c r="E71" s="29">
        <v>0.71</v>
      </c>
      <c r="F71" s="28"/>
      <c r="G71" s="28"/>
      <c r="H71" s="28"/>
      <c r="I71" s="28"/>
      <c r="J71" s="29">
        <f>SUM(D71:I71)</f>
        <v>84.929999999999993</v>
      </c>
      <c r="K71" s="8"/>
      <c r="L71" s="8"/>
    </row>
    <row r="72" spans="1:12">
      <c r="A72" s="8"/>
      <c r="B72" s="8"/>
      <c r="C72" s="8"/>
      <c r="D72" s="20"/>
      <c r="E72" s="20"/>
      <c r="F72" s="15"/>
      <c r="G72" s="15"/>
      <c r="H72" s="15"/>
      <c r="I72" s="15"/>
      <c r="J72" s="20"/>
      <c r="K72" s="8"/>
      <c r="L72" s="8"/>
    </row>
    <row r="73" spans="1:12" ht="15.75" thickBot="1">
      <c r="A73" s="8"/>
      <c r="B73" s="8"/>
      <c r="C73" s="8" t="s">
        <v>10</v>
      </c>
      <c r="D73" s="31">
        <f t="shared" ref="D73:I73" si="10">SUM(D70:D71)</f>
        <v>2374.62</v>
      </c>
      <c r="E73" s="31">
        <f t="shared" si="10"/>
        <v>1.82</v>
      </c>
      <c r="F73" s="30">
        <f t="shared" si="10"/>
        <v>0</v>
      </c>
      <c r="G73" s="30">
        <f t="shared" si="10"/>
        <v>0</v>
      </c>
      <c r="H73" s="30">
        <f t="shared" si="10"/>
        <v>0</v>
      </c>
      <c r="I73" s="30">
        <f t="shared" si="10"/>
        <v>0</v>
      </c>
      <c r="J73" s="31">
        <f>SUM(D73:I73)</f>
        <v>2376.44</v>
      </c>
      <c r="K73" s="8"/>
      <c r="L73" s="8"/>
    </row>
    <row r="74" spans="1:12" ht="15.75" thickTop="1">
      <c r="A74" s="8"/>
      <c r="B74" s="8"/>
      <c r="C74" s="8"/>
      <c r="D74" s="20"/>
      <c r="E74" s="20"/>
      <c r="F74" s="15"/>
      <c r="G74" s="15"/>
      <c r="H74" s="15"/>
      <c r="I74" s="15"/>
      <c r="J74" s="20"/>
      <c r="K74" s="8"/>
      <c r="L74" s="8"/>
    </row>
    <row r="75" spans="1:12">
      <c r="A75" s="8"/>
      <c r="B75" s="8"/>
      <c r="C75" s="8"/>
      <c r="D75" s="20"/>
      <c r="E75" s="20"/>
      <c r="F75" s="15"/>
      <c r="G75" s="15"/>
      <c r="H75" s="15"/>
      <c r="I75" s="15"/>
      <c r="J75" s="20"/>
      <c r="K75" s="8"/>
      <c r="L75" s="8"/>
    </row>
    <row r="76" spans="1:12">
      <c r="A76" s="8">
        <v>32</v>
      </c>
      <c r="B76" s="8" t="s">
        <v>25</v>
      </c>
      <c r="C76" s="8" t="s">
        <v>12</v>
      </c>
      <c r="D76" s="20">
        <v>12896.06</v>
      </c>
      <c r="E76" s="20">
        <v>243.42</v>
      </c>
      <c r="F76" s="15">
        <v>137.85</v>
      </c>
      <c r="G76" s="15">
        <v>54.27</v>
      </c>
      <c r="H76" s="15">
        <v>47.39</v>
      </c>
      <c r="I76" s="15"/>
      <c r="J76" s="20">
        <f>SUM(D76:I76)</f>
        <v>13378.99</v>
      </c>
      <c r="K76" s="8"/>
      <c r="L76" s="8"/>
    </row>
    <row r="77" spans="1:12">
      <c r="A77" s="8"/>
      <c r="B77" s="8"/>
      <c r="C77" s="8" t="s">
        <v>13</v>
      </c>
      <c r="D77" s="20">
        <v>255.2</v>
      </c>
      <c r="E77" s="20">
        <v>4.71</v>
      </c>
      <c r="F77" s="15">
        <v>2.84</v>
      </c>
      <c r="G77" s="15">
        <v>1.26</v>
      </c>
      <c r="H77" s="15">
        <v>1.05</v>
      </c>
      <c r="I77" s="15"/>
      <c r="J77" s="20">
        <f>SUM(D77:I77)</f>
        <v>265.05999999999995</v>
      </c>
      <c r="K77" s="8"/>
      <c r="L77" s="8"/>
    </row>
    <row r="78" spans="1:12">
      <c r="A78" s="8"/>
      <c r="B78" s="8"/>
      <c r="C78" s="8" t="s">
        <v>73</v>
      </c>
      <c r="D78" s="20"/>
      <c r="E78" s="20"/>
      <c r="F78" s="26"/>
      <c r="G78" s="8"/>
      <c r="H78" s="26"/>
      <c r="I78" s="8"/>
      <c r="J78" s="20">
        <f>SUM(D78:I78)</f>
        <v>0</v>
      </c>
      <c r="K78" s="8"/>
      <c r="L78" s="8"/>
    </row>
    <row r="79" spans="1:12" ht="15.75" thickBot="1">
      <c r="A79" s="8"/>
      <c r="B79" s="8"/>
      <c r="C79" s="8" t="s">
        <v>78</v>
      </c>
      <c r="D79" s="29"/>
      <c r="E79" s="29"/>
      <c r="F79" s="33"/>
      <c r="G79" s="27"/>
      <c r="H79" s="27"/>
      <c r="I79" s="27"/>
      <c r="J79" s="29">
        <f>SUM(D79:I79)</f>
        <v>0</v>
      </c>
      <c r="K79" s="8"/>
      <c r="L79" s="8"/>
    </row>
    <row r="80" spans="1:12">
      <c r="A80" s="8"/>
      <c r="B80" s="8"/>
      <c r="C80" s="8"/>
      <c r="D80" s="20"/>
      <c r="E80" s="20"/>
      <c r="F80" s="15"/>
      <c r="G80" s="8"/>
      <c r="H80" s="8"/>
      <c r="I80" s="8"/>
      <c r="J80" s="20"/>
      <c r="K80" s="8"/>
      <c r="L80" s="8"/>
    </row>
    <row r="81" spans="1:12" ht="15.75" thickBot="1">
      <c r="A81" s="8"/>
      <c r="B81" s="8"/>
      <c r="C81" s="8" t="s">
        <v>10</v>
      </c>
      <c r="D81" s="31">
        <f t="shared" ref="D81:I81" si="11">SUM(D76:D79)</f>
        <v>13151.26</v>
      </c>
      <c r="E81" s="31">
        <f t="shared" si="11"/>
        <v>248.13</v>
      </c>
      <c r="F81" s="30">
        <f t="shared" si="11"/>
        <v>140.69</v>
      </c>
      <c r="G81" s="30">
        <f t="shared" si="11"/>
        <v>55.53</v>
      </c>
      <c r="H81" s="30">
        <f t="shared" si="11"/>
        <v>48.44</v>
      </c>
      <c r="I81" s="30">
        <f t="shared" si="11"/>
        <v>0</v>
      </c>
      <c r="J81" s="31">
        <f>SUM(D81:I81)</f>
        <v>13644.050000000001</v>
      </c>
      <c r="K81" s="8"/>
      <c r="L81" s="8"/>
    </row>
    <row r="82" spans="1:12" ht="15.75" thickTop="1">
      <c r="A82" s="8"/>
      <c r="B82" s="8"/>
      <c r="C82" s="8"/>
      <c r="D82" s="20"/>
      <c r="E82" s="20"/>
      <c r="F82" s="15"/>
      <c r="G82" s="15"/>
      <c r="H82" s="15"/>
      <c r="I82" s="15"/>
      <c r="J82" s="20"/>
      <c r="K82" s="8"/>
      <c r="L82" s="8"/>
    </row>
    <row r="83" spans="1:12">
      <c r="A83" s="8"/>
      <c r="B83" s="8"/>
      <c r="C83" s="8"/>
      <c r="D83" s="20"/>
      <c r="E83" s="20"/>
      <c r="F83" s="15"/>
      <c r="G83" s="15"/>
      <c r="H83" s="15"/>
      <c r="I83" s="15"/>
      <c r="J83" s="20"/>
      <c r="K83" s="8"/>
      <c r="L83" s="8"/>
    </row>
    <row r="84" spans="1:12">
      <c r="A84" s="8">
        <v>33</v>
      </c>
      <c r="B84" s="8" t="s">
        <v>26</v>
      </c>
      <c r="C84" s="8" t="s">
        <v>12</v>
      </c>
      <c r="D84" s="20">
        <v>6998.11</v>
      </c>
      <c r="E84" s="20">
        <v>273.08</v>
      </c>
      <c r="F84" s="15"/>
      <c r="G84" s="15"/>
      <c r="H84" s="15"/>
      <c r="I84" s="15"/>
      <c r="J84" s="20">
        <f>SUM(D84:I84)</f>
        <v>7271.19</v>
      </c>
      <c r="K84" s="8"/>
      <c r="L84" s="8"/>
    </row>
    <row r="85" spans="1:12" ht="15.75" thickBot="1">
      <c r="A85" s="8"/>
      <c r="B85" s="8"/>
      <c r="C85" s="8" t="s">
        <v>13</v>
      </c>
      <c r="D85" s="29">
        <v>113.77</v>
      </c>
      <c r="E85" s="29">
        <v>3.45</v>
      </c>
      <c r="F85" s="28"/>
      <c r="G85" s="28"/>
      <c r="H85" s="28"/>
      <c r="I85" s="28"/>
      <c r="J85" s="29">
        <f>SUM(D85:I85)</f>
        <v>117.22</v>
      </c>
      <c r="K85" s="8"/>
      <c r="L85" s="8"/>
    </row>
    <row r="86" spans="1:12">
      <c r="A86" s="8"/>
      <c r="B86" s="8"/>
      <c r="C86" s="8"/>
      <c r="D86" s="20"/>
      <c r="E86" s="20"/>
      <c r="F86" s="15"/>
      <c r="G86" s="15"/>
      <c r="H86" s="15"/>
      <c r="I86" s="15"/>
      <c r="J86" s="20"/>
      <c r="K86" s="8"/>
      <c r="L86" s="8"/>
    </row>
    <row r="87" spans="1:12" ht="15.75" thickBot="1">
      <c r="A87" s="8"/>
      <c r="B87" s="8"/>
      <c r="C87" s="8" t="s">
        <v>10</v>
      </c>
      <c r="D87" s="31">
        <f t="shared" ref="D87:I87" si="12">SUM(D84:D85)</f>
        <v>7111.88</v>
      </c>
      <c r="E87" s="31">
        <f t="shared" si="12"/>
        <v>276.52999999999997</v>
      </c>
      <c r="F87" s="30">
        <f t="shared" si="12"/>
        <v>0</v>
      </c>
      <c r="G87" s="30">
        <f t="shared" si="12"/>
        <v>0</v>
      </c>
      <c r="H87" s="30">
        <f t="shared" si="12"/>
        <v>0</v>
      </c>
      <c r="I87" s="30">
        <f t="shared" si="12"/>
        <v>0</v>
      </c>
      <c r="J87" s="31">
        <f>SUM(D87:I87)</f>
        <v>7388.41</v>
      </c>
      <c r="K87" s="8"/>
      <c r="L87" s="8"/>
    </row>
    <row r="88" spans="1:12" ht="15.75" thickTop="1">
      <c r="A88" s="8"/>
      <c r="B88" s="8"/>
      <c r="C88" s="8"/>
      <c r="D88" s="20"/>
      <c r="E88" s="20"/>
      <c r="F88" s="15"/>
      <c r="G88" s="15"/>
      <c r="H88" s="15"/>
      <c r="I88" s="15"/>
      <c r="J88" s="20"/>
      <c r="K88" s="8"/>
      <c r="L88" s="8"/>
    </row>
    <row r="89" spans="1:12">
      <c r="A89" s="8"/>
      <c r="B89" s="8"/>
      <c r="C89" s="8"/>
      <c r="D89" s="20"/>
      <c r="E89" s="20"/>
      <c r="F89" s="15"/>
      <c r="G89" s="15"/>
      <c r="H89" s="15"/>
      <c r="I89" s="15"/>
      <c r="J89" s="20"/>
      <c r="K89" s="8"/>
      <c r="L89" s="8"/>
    </row>
    <row r="90" spans="1:12">
      <c r="A90" s="8">
        <v>34</v>
      </c>
      <c r="B90" s="8" t="s">
        <v>27</v>
      </c>
      <c r="C90" s="8" t="s">
        <v>12</v>
      </c>
      <c r="D90" s="20">
        <v>8159.02</v>
      </c>
      <c r="E90" s="20">
        <v>227.46</v>
      </c>
      <c r="F90" s="15">
        <v>118.18</v>
      </c>
      <c r="G90" s="15">
        <v>76.5</v>
      </c>
      <c r="H90" s="15">
        <v>73.069999999999993</v>
      </c>
      <c r="I90" s="15"/>
      <c r="J90" s="20">
        <f>SUM(D90:I90)</f>
        <v>8654.23</v>
      </c>
      <c r="K90" s="8"/>
      <c r="L90" s="8"/>
    </row>
    <row r="91" spans="1:12">
      <c r="A91" s="8"/>
      <c r="B91" s="8"/>
      <c r="C91" s="8" t="s">
        <v>13</v>
      </c>
      <c r="D91" s="20">
        <v>621.07000000000005</v>
      </c>
      <c r="E91" s="20">
        <v>18.38</v>
      </c>
      <c r="F91" s="15">
        <v>9.7100000000000009</v>
      </c>
      <c r="G91" s="15">
        <v>6.15</v>
      </c>
      <c r="H91" s="15">
        <v>5.89</v>
      </c>
      <c r="I91" s="15"/>
      <c r="J91" s="20">
        <f>SUM(D91:I91)</f>
        <v>661.2</v>
      </c>
      <c r="K91" s="8"/>
      <c r="L91" s="8"/>
    </row>
    <row r="92" spans="1:12" ht="15.75" thickBot="1">
      <c r="A92" s="8"/>
      <c r="B92" s="8"/>
      <c r="C92" s="8" t="s">
        <v>78</v>
      </c>
      <c r="D92" s="29">
        <v>1173.82</v>
      </c>
      <c r="E92" s="29">
        <v>36.11</v>
      </c>
      <c r="F92" s="28">
        <v>18.77</v>
      </c>
      <c r="G92" s="28">
        <v>12.23</v>
      </c>
      <c r="H92" s="28">
        <v>12.03</v>
      </c>
      <c r="I92" s="28"/>
      <c r="J92" s="29">
        <f>SUM(D92:I92)</f>
        <v>1252.9599999999998</v>
      </c>
      <c r="K92" s="8"/>
      <c r="L92" s="8"/>
    </row>
    <row r="93" spans="1:12">
      <c r="A93" s="8"/>
      <c r="B93" s="8"/>
      <c r="C93" s="8"/>
      <c r="D93" s="20"/>
      <c r="E93" s="20"/>
      <c r="F93" s="15"/>
      <c r="G93" s="15"/>
      <c r="H93" s="15"/>
      <c r="I93" s="15"/>
      <c r="J93" s="20"/>
      <c r="K93" s="8"/>
      <c r="L93" s="8"/>
    </row>
    <row r="94" spans="1:12" ht="15.75" thickBot="1">
      <c r="A94" s="8"/>
      <c r="B94" s="8"/>
      <c r="C94" s="8" t="s">
        <v>10</v>
      </c>
      <c r="D94" s="31">
        <f t="shared" ref="D94:I94" si="13">SUM(D90:D93)</f>
        <v>9953.91</v>
      </c>
      <c r="E94" s="31">
        <f t="shared" si="13"/>
        <v>281.95</v>
      </c>
      <c r="F94" s="30">
        <f t="shared" si="13"/>
        <v>146.66000000000003</v>
      </c>
      <c r="G94" s="30">
        <f t="shared" si="13"/>
        <v>94.88000000000001</v>
      </c>
      <c r="H94" s="30">
        <f t="shared" si="13"/>
        <v>90.99</v>
      </c>
      <c r="I94" s="30">
        <f t="shared" si="13"/>
        <v>0</v>
      </c>
      <c r="J94" s="31">
        <f>SUM(D94:I94)</f>
        <v>10568.39</v>
      </c>
      <c r="K94" s="8"/>
      <c r="L94" s="8"/>
    </row>
    <row r="95" spans="1:12" ht="15.75" thickTop="1">
      <c r="A95" s="8"/>
      <c r="B95" s="8"/>
      <c r="C95" s="8"/>
      <c r="D95" s="20"/>
      <c r="E95" s="20"/>
      <c r="F95" s="15"/>
      <c r="G95" s="15"/>
      <c r="H95" s="15"/>
      <c r="I95" s="15"/>
      <c r="J95" s="20"/>
      <c r="K95" s="8"/>
      <c r="L95" s="8"/>
    </row>
    <row r="96" spans="1:12">
      <c r="A96" s="8"/>
      <c r="B96" s="8"/>
      <c r="C96" s="8"/>
      <c r="D96" s="20"/>
      <c r="E96" s="20"/>
      <c r="F96" s="15"/>
      <c r="G96" s="15"/>
      <c r="H96" s="15"/>
      <c r="I96" s="15"/>
      <c r="J96" s="20"/>
      <c r="K96" s="8"/>
      <c r="L96" s="8"/>
    </row>
    <row r="97" spans="1:12" ht="15.75" thickBot="1">
      <c r="A97" s="8">
        <v>35</v>
      </c>
      <c r="B97" s="8" t="s">
        <v>28</v>
      </c>
      <c r="C97" s="8" t="s">
        <v>12</v>
      </c>
      <c r="D97" s="29">
        <v>5957.38</v>
      </c>
      <c r="E97" s="29">
        <v>256.02999999999997</v>
      </c>
      <c r="F97" s="28">
        <v>9.91</v>
      </c>
      <c r="G97" s="28">
        <v>9.32</v>
      </c>
      <c r="H97" s="28">
        <v>9.7799999999999994</v>
      </c>
      <c r="I97" s="28"/>
      <c r="J97" s="29">
        <f>SUM(D97:I97)</f>
        <v>6242.4199999999992</v>
      </c>
      <c r="K97" s="8"/>
      <c r="L97" s="8"/>
    </row>
    <row r="98" spans="1:12">
      <c r="A98" s="8"/>
      <c r="B98" s="8"/>
      <c r="C98" s="8"/>
      <c r="D98" s="20"/>
      <c r="E98" s="20"/>
      <c r="F98" s="15"/>
      <c r="G98" s="15"/>
      <c r="H98" s="15"/>
      <c r="I98" s="15"/>
      <c r="J98" s="20"/>
      <c r="K98" s="8"/>
      <c r="L98" s="8"/>
    </row>
    <row r="99" spans="1:12" ht="15.75" thickBot="1">
      <c r="A99" s="8"/>
      <c r="B99" s="8"/>
      <c r="C99" s="8" t="s">
        <v>10</v>
      </c>
      <c r="D99" s="31">
        <f t="shared" ref="D99:I99" si="14">SUM(D97:D98)</f>
        <v>5957.38</v>
      </c>
      <c r="E99" s="31">
        <f t="shared" si="14"/>
        <v>256.02999999999997</v>
      </c>
      <c r="F99" s="30">
        <f t="shared" si="14"/>
        <v>9.91</v>
      </c>
      <c r="G99" s="30">
        <f t="shared" si="14"/>
        <v>9.32</v>
      </c>
      <c r="H99" s="30">
        <f t="shared" si="14"/>
        <v>9.7799999999999994</v>
      </c>
      <c r="I99" s="30">
        <f t="shared" si="14"/>
        <v>0</v>
      </c>
      <c r="J99" s="31">
        <f>SUM(D99:I99)</f>
        <v>6242.4199999999992</v>
      </c>
      <c r="K99" s="8"/>
      <c r="L99" s="8"/>
    </row>
    <row r="100" spans="1:12" ht="15.75" thickTop="1">
      <c r="A100" s="8"/>
      <c r="B100" s="8"/>
      <c r="C100" s="8"/>
      <c r="D100" s="20"/>
      <c r="E100" s="20"/>
      <c r="F100" s="15"/>
      <c r="G100" s="15"/>
      <c r="H100" s="15"/>
      <c r="I100" s="15"/>
      <c r="J100" s="20"/>
      <c r="K100" s="8"/>
      <c r="L100" s="8"/>
    </row>
    <row r="101" spans="1:12">
      <c r="A101" s="8"/>
      <c r="B101" s="8"/>
      <c r="C101" s="8"/>
      <c r="D101" s="20"/>
      <c r="E101" s="20"/>
      <c r="F101" s="15"/>
      <c r="G101" s="15"/>
      <c r="H101" s="15"/>
      <c r="I101" s="15"/>
      <c r="J101" s="20"/>
      <c r="K101" s="8"/>
      <c r="L101" s="8"/>
    </row>
    <row r="102" spans="1:12">
      <c r="A102" s="8">
        <v>36</v>
      </c>
      <c r="B102" s="8" t="s">
        <v>29</v>
      </c>
      <c r="C102" s="8" t="s">
        <v>12</v>
      </c>
      <c r="D102" s="20">
        <v>6036.77</v>
      </c>
      <c r="E102" s="20">
        <v>154.47999999999999</v>
      </c>
      <c r="F102" s="15">
        <v>48.17</v>
      </c>
      <c r="G102" s="15">
        <v>31.71</v>
      </c>
      <c r="H102" s="15">
        <v>31.94</v>
      </c>
      <c r="I102" s="15"/>
      <c r="J102" s="20">
        <f>SUM(D102:I102)</f>
        <v>6303.07</v>
      </c>
      <c r="K102" s="8"/>
      <c r="L102" s="8"/>
    </row>
    <row r="103" spans="1:12" ht="15.75" thickBot="1">
      <c r="A103" s="8"/>
      <c r="B103" s="8"/>
      <c r="C103" s="8" t="s">
        <v>13</v>
      </c>
      <c r="D103" s="29">
        <v>455.22</v>
      </c>
      <c r="E103" s="29">
        <v>11.6</v>
      </c>
      <c r="F103" s="28">
        <v>3.86</v>
      </c>
      <c r="G103" s="28">
        <v>2.4700000000000002</v>
      </c>
      <c r="H103" s="28">
        <v>2.21</v>
      </c>
      <c r="I103" s="28"/>
      <c r="J103" s="29">
        <f>SUM(D103:I103)</f>
        <v>475.36000000000007</v>
      </c>
      <c r="K103" s="8"/>
      <c r="L103" s="8"/>
    </row>
    <row r="104" spans="1:12">
      <c r="A104" s="8"/>
      <c r="B104" s="8"/>
      <c r="C104" s="8"/>
      <c r="D104" s="20"/>
      <c r="E104" s="20"/>
      <c r="F104" s="15"/>
      <c r="G104" s="15"/>
      <c r="H104" s="15"/>
      <c r="I104" s="15"/>
      <c r="J104" s="20"/>
      <c r="K104" s="8"/>
      <c r="L104" s="8"/>
    </row>
    <row r="105" spans="1:12" ht="15.75" thickBot="1">
      <c r="A105" s="8"/>
      <c r="B105" s="8"/>
      <c r="C105" s="8" t="s">
        <v>10</v>
      </c>
      <c r="D105" s="31">
        <f t="shared" ref="D105:I105" si="15">SUM(D102:D103)</f>
        <v>6491.9900000000007</v>
      </c>
      <c r="E105" s="31">
        <f t="shared" si="15"/>
        <v>166.07999999999998</v>
      </c>
      <c r="F105" s="30">
        <f t="shared" si="15"/>
        <v>52.03</v>
      </c>
      <c r="G105" s="30">
        <f t="shared" si="15"/>
        <v>34.18</v>
      </c>
      <c r="H105" s="30">
        <f t="shared" si="15"/>
        <v>34.15</v>
      </c>
      <c r="I105" s="30">
        <f t="shared" si="15"/>
        <v>0</v>
      </c>
      <c r="J105" s="31">
        <f>SUM(D105:I105)</f>
        <v>6778.43</v>
      </c>
      <c r="K105" s="8"/>
      <c r="L105" s="8"/>
    </row>
    <row r="106" spans="1:12" ht="15.75" thickTop="1">
      <c r="A106" s="8"/>
      <c r="B106" s="8"/>
      <c r="C106" s="8"/>
      <c r="D106" s="20"/>
      <c r="E106" s="20"/>
      <c r="F106" s="15"/>
      <c r="G106" s="15"/>
      <c r="H106" s="15"/>
      <c r="I106" s="15"/>
      <c r="J106" s="20"/>
      <c r="K106" s="8"/>
      <c r="L106" s="8"/>
    </row>
    <row r="107" spans="1:12">
      <c r="A107" s="8"/>
      <c r="B107" s="8"/>
      <c r="C107" s="8"/>
      <c r="D107" s="20"/>
      <c r="E107" s="20"/>
      <c r="F107" s="15"/>
      <c r="G107" s="15"/>
      <c r="H107" s="15"/>
      <c r="I107" s="15"/>
      <c r="J107" s="20"/>
      <c r="K107" s="8"/>
      <c r="L107" s="8"/>
    </row>
    <row r="108" spans="1:12" ht="15.75" thickBot="1">
      <c r="A108" s="8">
        <v>37</v>
      </c>
      <c r="B108" s="8" t="s">
        <v>30</v>
      </c>
      <c r="C108" s="8" t="s">
        <v>12</v>
      </c>
      <c r="D108" s="29">
        <v>6711.98</v>
      </c>
      <c r="E108" s="29">
        <v>537.95000000000005</v>
      </c>
      <c r="F108" s="28">
        <v>487.62</v>
      </c>
      <c r="G108" s="28">
        <v>380.85</v>
      </c>
      <c r="H108" s="28"/>
      <c r="I108" s="28"/>
      <c r="J108" s="29">
        <f>SUM(D108:I108)</f>
        <v>8118.4</v>
      </c>
      <c r="K108" s="8"/>
      <c r="L108" s="8"/>
    </row>
    <row r="109" spans="1:12">
      <c r="A109" s="8"/>
      <c r="B109" s="8"/>
      <c r="C109" s="8"/>
      <c r="D109" s="20"/>
      <c r="E109" s="20"/>
      <c r="F109" s="15"/>
      <c r="G109" s="15"/>
      <c r="H109" s="15"/>
      <c r="I109" s="15"/>
      <c r="J109" s="20"/>
      <c r="K109" s="8"/>
      <c r="L109" s="8"/>
    </row>
    <row r="110" spans="1:12" ht="15.75" thickBot="1">
      <c r="A110" s="8"/>
      <c r="B110" s="8"/>
      <c r="C110" s="8" t="s">
        <v>10</v>
      </c>
      <c r="D110" s="31">
        <f t="shared" ref="D110:I110" si="16">SUM(D108:D109)</f>
        <v>6711.98</v>
      </c>
      <c r="E110" s="31">
        <f t="shared" si="16"/>
        <v>537.95000000000005</v>
      </c>
      <c r="F110" s="30">
        <f t="shared" si="16"/>
        <v>487.62</v>
      </c>
      <c r="G110" s="30">
        <f t="shared" si="16"/>
        <v>380.85</v>
      </c>
      <c r="H110" s="30">
        <f t="shared" si="16"/>
        <v>0</v>
      </c>
      <c r="I110" s="30">
        <f t="shared" si="16"/>
        <v>0</v>
      </c>
      <c r="J110" s="31">
        <f>SUM(D110:I110)</f>
        <v>8118.4</v>
      </c>
      <c r="K110" s="8"/>
      <c r="L110" s="8"/>
    </row>
    <row r="111" spans="1:12" ht="15.75" thickTop="1">
      <c r="A111" s="8"/>
      <c r="B111" s="8"/>
      <c r="C111" s="8"/>
      <c r="D111" s="20"/>
      <c r="E111" s="20"/>
      <c r="F111" s="15"/>
      <c r="G111" s="15"/>
      <c r="H111" s="15"/>
      <c r="I111" s="15"/>
      <c r="J111" s="20"/>
      <c r="K111" s="8"/>
      <c r="L111" s="8"/>
    </row>
    <row r="112" spans="1:12">
      <c r="A112" s="8"/>
      <c r="B112" s="8"/>
      <c r="C112" s="8"/>
      <c r="D112" s="20"/>
      <c r="E112" s="20"/>
      <c r="F112" s="15"/>
      <c r="G112" s="15"/>
      <c r="H112" s="15"/>
      <c r="I112" s="15"/>
      <c r="J112" s="20"/>
      <c r="K112" s="8"/>
      <c r="L112" s="8"/>
    </row>
    <row r="113" spans="1:12">
      <c r="A113" s="8">
        <v>38</v>
      </c>
      <c r="B113" s="8" t="s">
        <v>31</v>
      </c>
      <c r="C113" s="8" t="s">
        <v>12</v>
      </c>
      <c r="D113" s="20">
        <v>6954.05</v>
      </c>
      <c r="E113" s="20">
        <v>2.7</v>
      </c>
      <c r="F113" s="15"/>
      <c r="G113" s="15"/>
      <c r="H113" s="15"/>
      <c r="I113" s="15"/>
      <c r="J113" s="20">
        <f>SUM(D113:I113)</f>
        <v>6956.75</v>
      </c>
      <c r="K113" s="8"/>
      <c r="L113" s="8"/>
    </row>
    <row r="114" spans="1:12">
      <c r="A114" s="8"/>
      <c r="B114" s="8"/>
      <c r="C114" s="8" t="s">
        <v>35</v>
      </c>
      <c r="D114" s="20">
        <v>830.8</v>
      </c>
      <c r="E114" s="20">
        <v>0.17</v>
      </c>
      <c r="F114" s="15"/>
      <c r="G114" s="15"/>
      <c r="H114" s="15"/>
      <c r="I114" s="15"/>
      <c r="J114" s="20">
        <f>SUM(D114:I114)</f>
        <v>830.96999999999991</v>
      </c>
      <c r="K114" s="8"/>
      <c r="L114" s="8"/>
    </row>
    <row r="115" spans="1:12">
      <c r="A115" s="8"/>
      <c r="B115" s="8"/>
      <c r="C115" s="8" t="s">
        <v>13</v>
      </c>
      <c r="D115" s="20">
        <v>693.45</v>
      </c>
      <c r="E115" s="20">
        <v>0.32</v>
      </c>
      <c r="F115" s="15"/>
      <c r="G115" s="15"/>
      <c r="H115" s="15"/>
      <c r="I115" s="15"/>
      <c r="J115" s="20">
        <f>SUM(D115:I115)</f>
        <v>693.7700000000001</v>
      </c>
      <c r="K115" s="8"/>
      <c r="L115" s="8"/>
    </row>
    <row r="116" spans="1:12" ht="15.75" thickBot="1">
      <c r="A116" s="8"/>
      <c r="B116" s="8"/>
      <c r="C116" s="8" t="s">
        <v>78</v>
      </c>
      <c r="D116" s="29">
        <v>1274.58</v>
      </c>
      <c r="E116" s="29">
        <v>0.55000000000000004</v>
      </c>
      <c r="F116" s="28"/>
      <c r="G116" s="28"/>
      <c r="H116" s="28"/>
      <c r="I116" s="28"/>
      <c r="J116" s="29">
        <f>SUM(D116:I116)</f>
        <v>1275.1299999999999</v>
      </c>
      <c r="K116" s="8"/>
      <c r="L116" s="8"/>
    </row>
    <row r="117" spans="1:12">
      <c r="A117" s="8"/>
      <c r="B117" s="8"/>
      <c r="C117" s="8"/>
      <c r="D117" s="20"/>
      <c r="E117" s="20"/>
      <c r="F117" s="15"/>
      <c r="G117" s="15"/>
      <c r="H117" s="15"/>
      <c r="I117" s="15"/>
      <c r="J117" s="20"/>
      <c r="K117" s="8"/>
      <c r="L117" s="8"/>
    </row>
    <row r="118" spans="1:12" ht="15.75" thickBot="1">
      <c r="A118" s="8"/>
      <c r="B118" s="8"/>
      <c r="C118" s="8" t="s">
        <v>10</v>
      </c>
      <c r="D118" s="31">
        <f t="shared" ref="D118:I118" si="17">SUM(D113:D116)</f>
        <v>9752.880000000001</v>
      </c>
      <c r="E118" s="31">
        <f t="shared" si="17"/>
        <v>3.74</v>
      </c>
      <c r="F118" s="30">
        <f t="shared" si="17"/>
        <v>0</v>
      </c>
      <c r="G118" s="30">
        <f t="shared" si="17"/>
        <v>0</v>
      </c>
      <c r="H118" s="30">
        <f t="shared" si="17"/>
        <v>0</v>
      </c>
      <c r="I118" s="30">
        <f t="shared" si="17"/>
        <v>0</v>
      </c>
      <c r="J118" s="31">
        <f>SUM(D118:I118)</f>
        <v>9756.6200000000008</v>
      </c>
      <c r="K118" s="8"/>
      <c r="L118" s="8"/>
    </row>
    <row r="119" spans="1:12" ht="15.75" thickTop="1">
      <c r="A119" s="8"/>
      <c r="B119" s="8"/>
      <c r="C119" s="8"/>
      <c r="D119" s="20"/>
      <c r="E119" s="20"/>
      <c r="F119" s="15"/>
      <c r="G119" s="15"/>
      <c r="H119" s="15"/>
      <c r="I119" s="15"/>
      <c r="J119" s="20"/>
      <c r="K119" s="8"/>
      <c r="L119" s="8"/>
    </row>
    <row r="120" spans="1:12">
      <c r="A120" s="8"/>
      <c r="B120" s="8"/>
      <c r="C120" s="8"/>
      <c r="D120" s="20"/>
      <c r="E120" s="20"/>
      <c r="F120" s="15"/>
      <c r="G120" s="15"/>
      <c r="H120" s="15"/>
      <c r="I120" s="15"/>
      <c r="J120" s="20"/>
      <c r="K120" s="8"/>
      <c r="L120" s="8"/>
    </row>
    <row r="121" spans="1:12" ht="15.75" thickBot="1">
      <c r="A121" s="8">
        <v>39</v>
      </c>
      <c r="B121" s="8" t="s">
        <v>32</v>
      </c>
      <c r="C121" s="8" t="s">
        <v>12</v>
      </c>
      <c r="D121" s="29"/>
      <c r="E121" s="29">
        <v>0</v>
      </c>
      <c r="F121" s="28">
        <v>0</v>
      </c>
      <c r="G121" s="28">
        <v>0</v>
      </c>
      <c r="H121" s="28">
        <v>0</v>
      </c>
      <c r="I121" s="28">
        <v>0</v>
      </c>
      <c r="J121" s="29">
        <f>SUM(D121:I121)</f>
        <v>0</v>
      </c>
      <c r="K121" s="8"/>
      <c r="L121" s="8"/>
    </row>
    <row r="122" spans="1:12">
      <c r="A122" s="8"/>
      <c r="B122" s="8"/>
      <c r="C122" s="8"/>
      <c r="D122" s="20"/>
      <c r="E122" s="20"/>
      <c r="F122" s="15"/>
      <c r="G122" s="15"/>
      <c r="H122" s="15"/>
      <c r="I122" s="15"/>
      <c r="J122" s="20"/>
      <c r="K122" s="8"/>
      <c r="L122" s="8"/>
    </row>
    <row r="123" spans="1:12" ht="15.75" thickBot="1">
      <c r="A123" s="8"/>
      <c r="B123" s="8"/>
      <c r="C123" s="8" t="s">
        <v>10</v>
      </c>
      <c r="D123" s="31">
        <f t="shared" ref="D123:J123" si="18">D121</f>
        <v>0</v>
      </c>
      <c r="E123" s="31">
        <f t="shared" si="18"/>
        <v>0</v>
      </c>
      <c r="F123" s="30">
        <f t="shared" si="18"/>
        <v>0</v>
      </c>
      <c r="G123" s="30">
        <f t="shared" si="18"/>
        <v>0</v>
      </c>
      <c r="H123" s="30">
        <f t="shared" si="18"/>
        <v>0</v>
      </c>
      <c r="I123" s="30">
        <f t="shared" si="18"/>
        <v>0</v>
      </c>
      <c r="J123" s="30">
        <f t="shared" si="18"/>
        <v>0</v>
      </c>
      <c r="K123" s="8"/>
      <c r="L123" s="8"/>
    </row>
    <row r="124" spans="1:12" ht="15.75" thickTop="1">
      <c r="A124" s="8"/>
      <c r="B124" s="8"/>
      <c r="C124" s="8"/>
      <c r="D124" s="20"/>
      <c r="E124" s="20"/>
      <c r="F124" s="15"/>
      <c r="G124" s="15"/>
      <c r="H124" s="15"/>
      <c r="I124" s="15"/>
      <c r="J124" s="20"/>
      <c r="K124" s="8"/>
      <c r="L124" s="8"/>
    </row>
    <row r="125" spans="1:12">
      <c r="A125" s="8"/>
      <c r="B125" s="8"/>
      <c r="C125" s="8"/>
      <c r="D125" s="20"/>
      <c r="E125" s="20"/>
      <c r="F125" s="15"/>
      <c r="G125" s="15"/>
      <c r="H125" s="15"/>
      <c r="I125" s="15"/>
      <c r="J125" s="20"/>
      <c r="K125" s="8"/>
      <c r="L125" s="8"/>
    </row>
    <row r="126" spans="1:12" ht="15.75" thickBot="1">
      <c r="A126" s="8">
        <v>40</v>
      </c>
      <c r="B126" s="8" t="s">
        <v>33</v>
      </c>
      <c r="C126" s="8" t="s">
        <v>12</v>
      </c>
      <c r="D126" s="29">
        <v>9127.94</v>
      </c>
      <c r="E126" s="29">
        <v>618.95000000000005</v>
      </c>
      <c r="F126" s="28">
        <v>95.37</v>
      </c>
      <c r="G126" s="28">
        <v>97.38</v>
      </c>
      <c r="H126" s="28"/>
      <c r="I126" s="28"/>
      <c r="J126" s="29">
        <f>SUM(D126:I126)</f>
        <v>9939.6400000000012</v>
      </c>
      <c r="K126" s="8"/>
      <c r="L126" s="8"/>
    </row>
    <row r="127" spans="1:12">
      <c r="A127" s="8"/>
      <c r="B127" s="8"/>
      <c r="C127" s="8"/>
      <c r="D127" s="20"/>
      <c r="E127" s="20"/>
      <c r="F127" s="15"/>
      <c r="G127" s="15"/>
      <c r="H127" s="15"/>
      <c r="I127" s="15"/>
      <c r="J127" s="20"/>
      <c r="K127" s="8"/>
      <c r="L127" s="8"/>
    </row>
    <row r="128" spans="1:12" ht="15.75" thickBot="1">
      <c r="A128" s="8"/>
      <c r="B128" s="8"/>
      <c r="C128" s="8" t="s">
        <v>10</v>
      </c>
      <c r="D128" s="31">
        <f t="shared" ref="D128:I128" si="19">SUM(D126:D127)</f>
        <v>9127.94</v>
      </c>
      <c r="E128" s="31">
        <f t="shared" si="19"/>
        <v>618.95000000000005</v>
      </c>
      <c r="F128" s="30">
        <f t="shared" si="19"/>
        <v>95.37</v>
      </c>
      <c r="G128" s="30">
        <f t="shared" si="19"/>
        <v>97.38</v>
      </c>
      <c r="H128" s="30">
        <f t="shared" si="19"/>
        <v>0</v>
      </c>
      <c r="I128" s="30">
        <f t="shared" si="19"/>
        <v>0</v>
      </c>
      <c r="J128" s="31">
        <f>SUM(D128:I128)</f>
        <v>9939.6400000000012</v>
      </c>
      <c r="K128" s="8"/>
      <c r="L128" s="8"/>
    </row>
    <row r="129" spans="1:12" ht="15.75" thickTop="1">
      <c r="A129" s="8"/>
      <c r="B129" s="8"/>
      <c r="C129" s="8"/>
      <c r="D129" s="20"/>
      <c r="E129" s="20"/>
      <c r="F129" s="15"/>
      <c r="G129" s="15"/>
      <c r="H129" s="15"/>
      <c r="I129" s="15"/>
      <c r="J129" s="20"/>
      <c r="K129" s="8"/>
      <c r="L129" s="8"/>
    </row>
    <row r="130" spans="1:12">
      <c r="A130" s="8"/>
      <c r="B130" s="8"/>
      <c r="C130" s="8"/>
      <c r="D130" s="20"/>
      <c r="E130" s="20"/>
      <c r="F130" s="15"/>
      <c r="G130" s="15"/>
      <c r="H130" s="15"/>
      <c r="I130" s="15"/>
      <c r="J130" s="20"/>
      <c r="K130" s="8"/>
      <c r="L130" s="8"/>
    </row>
    <row r="131" spans="1:12">
      <c r="A131" s="8">
        <v>41</v>
      </c>
      <c r="B131" s="8" t="s">
        <v>34</v>
      </c>
      <c r="C131" s="8" t="s">
        <v>12</v>
      </c>
      <c r="D131" s="20">
        <v>6566.67</v>
      </c>
      <c r="E131" s="20">
        <v>191.93</v>
      </c>
      <c r="F131" s="15"/>
      <c r="G131" s="15"/>
      <c r="H131" s="15"/>
      <c r="I131" s="15"/>
      <c r="J131" s="20">
        <f>SUM(D131:I131)</f>
        <v>6758.6</v>
      </c>
      <c r="K131" s="8"/>
      <c r="L131" s="8"/>
    </row>
    <row r="132" spans="1:12" ht="15.75" thickBot="1">
      <c r="A132" s="8"/>
      <c r="B132" s="8"/>
      <c r="C132" s="8" t="s">
        <v>35</v>
      </c>
      <c r="D132" s="29">
        <v>276.99</v>
      </c>
      <c r="E132" s="29">
        <v>9.11</v>
      </c>
      <c r="F132" s="28"/>
      <c r="G132" s="28"/>
      <c r="H132" s="28"/>
      <c r="I132" s="28"/>
      <c r="J132" s="29">
        <f>SUM(D132:I132)</f>
        <v>286.10000000000002</v>
      </c>
      <c r="K132" s="8"/>
      <c r="L132" s="8"/>
    </row>
    <row r="133" spans="1:12">
      <c r="A133" s="8"/>
      <c r="B133" s="8"/>
      <c r="C133" s="8"/>
      <c r="D133" s="20"/>
      <c r="E133" s="20"/>
      <c r="F133" s="15"/>
      <c r="G133" s="15"/>
      <c r="H133" s="15"/>
      <c r="I133" s="15"/>
      <c r="J133" s="20"/>
      <c r="K133" s="8"/>
      <c r="L133" s="8"/>
    </row>
    <row r="134" spans="1:12" ht="15.75" thickBot="1">
      <c r="A134" s="8"/>
      <c r="B134" s="8"/>
      <c r="C134" s="8" t="s">
        <v>10</v>
      </c>
      <c r="D134" s="31">
        <f t="shared" ref="D134:I134" si="20">SUM(D131:D132)</f>
        <v>6843.66</v>
      </c>
      <c r="E134" s="31">
        <f t="shared" si="20"/>
        <v>201.04000000000002</v>
      </c>
      <c r="F134" s="30">
        <f t="shared" si="20"/>
        <v>0</v>
      </c>
      <c r="G134" s="30">
        <f t="shared" si="20"/>
        <v>0</v>
      </c>
      <c r="H134" s="30">
        <f t="shared" si="20"/>
        <v>0</v>
      </c>
      <c r="I134" s="30">
        <f t="shared" si="20"/>
        <v>0</v>
      </c>
      <c r="J134" s="31">
        <f>SUM(D134:I134)</f>
        <v>7044.7</v>
      </c>
      <c r="K134" s="8"/>
      <c r="L134" s="8"/>
    </row>
    <row r="135" spans="1:12" ht="15.75" thickTop="1">
      <c r="A135" s="8"/>
      <c r="B135" s="8"/>
      <c r="C135" s="8"/>
      <c r="D135" s="20"/>
      <c r="E135" s="20"/>
      <c r="F135" s="15"/>
      <c r="G135" s="15"/>
      <c r="H135" s="15"/>
      <c r="I135" s="15"/>
      <c r="J135" s="20"/>
      <c r="K135" s="8"/>
      <c r="L135" s="8"/>
    </row>
    <row r="136" spans="1:12">
      <c r="A136" s="8"/>
      <c r="B136" s="8"/>
      <c r="C136" s="8"/>
      <c r="D136" s="20"/>
      <c r="E136" s="20"/>
      <c r="F136" s="15"/>
      <c r="G136" s="15"/>
      <c r="H136" s="15"/>
      <c r="I136" s="15"/>
      <c r="J136" s="20"/>
      <c r="K136" s="8"/>
      <c r="L136" s="8"/>
    </row>
    <row r="137" spans="1:12">
      <c r="A137" s="8">
        <v>42</v>
      </c>
      <c r="B137" s="8" t="s">
        <v>36</v>
      </c>
      <c r="C137" s="8" t="s">
        <v>12</v>
      </c>
      <c r="D137" s="20">
        <v>6998.37</v>
      </c>
      <c r="E137" s="20">
        <v>414.62</v>
      </c>
      <c r="F137" s="15">
        <v>147.08000000000001</v>
      </c>
      <c r="G137" s="15"/>
      <c r="H137" s="15"/>
      <c r="I137" s="15"/>
      <c r="J137" s="20">
        <f>SUM(D137:I137)</f>
        <v>7560.07</v>
      </c>
      <c r="K137" s="8"/>
      <c r="L137" s="8"/>
    </row>
    <row r="138" spans="1:12" ht="15.75" thickBot="1">
      <c r="A138" s="8"/>
      <c r="B138" s="8"/>
      <c r="C138" s="8" t="s">
        <v>13</v>
      </c>
      <c r="D138" s="29">
        <v>443.38</v>
      </c>
      <c r="E138" s="29">
        <v>14.89</v>
      </c>
      <c r="F138" s="28">
        <v>7.29</v>
      </c>
      <c r="G138" s="28"/>
      <c r="H138" s="28"/>
      <c r="I138" s="28"/>
      <c r="J138" s="29">
        <f>SUM(D138:I138)</f>
        <v>465.56</v>
      </c>
      <c r="K138" s="8"/>
      <c r="L138" s="8"/>
    </row>
    <row r="139" spans="1:12">
      <c r="A139" s="8"/>
      <c r="B139" s="8"/>
      <c r="C139" s="8"/>
      <c r="D139" s="20"/>
      <c r="E139" s="20"/>
      <c r="F139" s="15"/>
      <c r="G139" s="15"/>
      <c r="H139" s="15"/>
      <c r="I139" s="15"/>
      <c r="J139" s="20"/>
      <c r="K139" s="8"/>
      <c r="L139" s="8"/>
    </row>
    <row r="140" spans="1:12" ht="15.75" thickBot="1">
      <c r="A140" s="8"/>
      <c r="B140" s="8"/>
      <c r="C140" s="8" t="s">
        <v>10</v>
      </c>
      <c r="D140" s="31">
        <f t="shared" ref="D140:I140" si="21">SUM(D137:D138)</f>
        <v>7441.75</v>
      </c>
      <c r="E140" s="31">
        <f t="shared" si="21"/>
        <v>429.51</v>
      </c>
      <c r="F140" s="30">
        <f t="shared" si="21"/>
        <v>154.37</v>
      </c>
      <c r="G140" s="30">
        <f t="shared" si="21"/>
        <v>0</v>
      </c>
      <c r="H140" s="30">
        <f t="shared" si="21"/>
        <v>0</v>
      </c>
      <c r="I140" s="30">
        <f t="shared" si="21"/>
        <v>0</v>
      </c>
      <c r="J140" s="31">
        <f>SUM(D140:I140)</f>
        <v>8025.63</v>
      </c>
      <c r="K140" s="8"/>
      <c r="L140" s="8"/>
    </row>
    <row r="141" spans="1:12" ht="15.75" thickTop="1">
      <c r="A141" s="8"/>
      <c r="B141" s="8"/>
      <c r="C141" s="8"/>
      <c r="D141" s="20"/>
      <c r="E141" s="20"/>
      <c r="F141" s="15"/>
      <c r="G141" s="15"/>
      <c r="H141" s="15"/>
      <c r="I141" s="15"/>
      <c r="J141" s="20"/>
      <c r="K141" s="8"/>
      <c r="L141" s="8"/>
    </row>
    <row r="142" spans="1:12">
      <c r="A142" s="8"/>
      <c r="B142" s="8"/>
      <c r="C142" s="8"/>
      <c r="D142" s="20"/>
      <c r="E142" s="20"/>
      <c r="F142" s="15"/>
      <c r="G142" s="15"/>
      <c r="H142" s="15"/>
      <c r="I142" s="15"/>
      <c r="J142" s="20"/>
      <c r="K142" s="8"/>
      <c r="L142" s="8"/>
    </row>
    <row r="143" spans="1:12">
      <c r="A143" s="8">
        <v>43</v>
      </c>
      <c r="B143" s="8" t="s">
        <v>37</v>
      </c>
      <c r="C143" s="8" t="s">
        <v>12</v>
      </c>
      <c r="D143" s="20">
        <v>7072.13</v>
      </c>
      <c r="E143" s="20">
        <v>103.46</v>
      </c>
      <c r="F143" s="15">
        <v>68.28</v>
      </c>
      <c r="G143" s="15"/>
      <c r="H143" s="15"/>
      <c r="I143" s="15"/>
      <c r="J143" s="20">
        <f>SUM(D143:I143)</f>
        <v>7243.87</v>
      </c>
      <c r="K143" s="8"/>
      <c r="L143" s="8"/>
    </row>
    <row r="144" spans="1:12">
      <c r="A144" s="8"/>
      <c r="B144" s="8"/>
      <c r="C144" s="8" t="s">
        <v>35</v>
      </c>
      <c r="D144" s="20">
        <v>394.9</v>
      </c>
      <c r="E144" s="20">
        <v>5.62</v>
      </c>
      <c r="F144" s="15">
        <v>3.69</v>
      </c>
      <c r="G144" s="15"/>
      <c r="H144" s="15"/>
      <c r="I144" s="15"/>
      <c r="J144" s="20">
        <f>SUM(D144:I144)</f>
        <v>404.21</v>
      </c>
      <c r="K144" s="8"/>
      <c r="L144" s="8"/>
    </row>
    <row r="145" spans="1:12">
      <c r="A145" s="8"/>
      <c r="B145" s="8"/>
      <c r="C145" s="8" t="s">
        <v>13</v>
      </c>
      <c r="D145" s="20">
        <v>544.79999999999995</v>
      </c>
      <c r="E145" s="20">
        <v>8.2200000000000006</v>
      </c>
      <c r="F145" s="15">
        <v>5.75</v>
      </c>
      <c r="G145" s="15"/>
      <c r="H145" s="15"/>
      <c r="I145" s="15"/>
      <c r="J145" s="20">
        <f>SUM(D145:I145)</f>
        <v>558.77</v>
      </c>
      <c r="K145" s="8"/>
      <c r="L145" s="8"/>
    </row>
    <row r="146" spans="1:12" ht="15.75" thickBot="1">
      <c r="A146" s="8"/>
      <c r="B146" s="8"/>
      <c r="C146" s="8" t="s">
        <v>78</v>
      </c>
      <c r="D146" s="29">
        <v>1180.68</v>
      </c>
      <c r="E146" s="29">
        <v>17.260000000000002</v>
      </c>
      <c r="F146" s="28">
        <v>11.36</v>
      </c>
      <c r="G146" s="28"/>
      <c r="H146" s="28"/>
      <c r="I146" s="28"/>
      <c r="J146" s="29">
        <f>SUM(D146:I146)</f>
        <v>1209.3</v>
      </c>
      <c r="K146" s="8"/>
      <c r="L146" s="8"/>
    </row>
    <row r="147" spans="1:12">
      <c r="A147" s="8"/>
      <c r="B147" s="8"/>
      <c r="C147" s="8"/>
      <c r="D147" s="20"/>
      <c r="E147" s="20"/>
      <c r="F147" s="15"/>
      <c r="G147" s="15"/>
      <c r="H147" s="15"/>
      <c r="I147" s="15"/>
      <c r="J147" s="20"/>
      <c r="K147" s="8"/>
      <c r="L147" s="8"/>
    </row>
    <row r="148" spans="1:12" ht="15.75" thickBot="1">
      <c r="A148" s="8"/>
      <c r="B148" s="8"/>
      <c r="C148" s="8" t="s">
        <v>10</v>
      </c>
      <c r="D148" s="31">
        <f t="shared" ref="D148:I148" si="22">SUM(D143:D146)</f>
        <v>9192.51</v>
      </c>
      <c r="E148" s="31">
        <f t="shared" si="22"/>
        <v>134.56</v>
      </c>
      <c r="F148" s="30">
        <f t="shared" si="22"/>
        <v>89.08</v>
      </c>
      <c r="G148" s="30">
        <f t="shared" si="22"/>
        <v>0</v>
      </c>
      <c r="H148" s="30">
        <f t="shared" si="22"/>
        <v>0</v>
      </c>
      <c r="I148" s="30">
        <f t="shared" si="22"/>
        <v>0</v>
      </c>
      <c r="J148" s="31">
        <f>SUM(D148:I148)</f>
        <v>9416.15</v>
      </c>
      <c r="K148" s="8"/>
      <c r="L148" s="8"/>
    </row>
    <row r="149" spans="1:12" ht="15.75" thickTop="1">
      <c r="A149" s="8"/>
      <c r="B149" s="8"/>
      <c r="C149" s="8"/>
      <c r="D149" s="20"/>
      <c r="E149" s="20"/>
      <c r="F149" s="15"/>
      <c r="G149" s="15"/>
      <c r="H149" s="15"/>
      <c r="I149" s="15"/>
      <c r="J149" s="20"/>
      <c r="K149" s="8"/>
      <c r="L149" s="8"/>
    </row>
    <row r="150" spans="1:12">
      <c r="A150" s="8"/>
      <c r="B150" s="8"/>
      <c r="C150" s="8"/>
      <c r="D150" s="20"/>
      <c r="E150" s="20"/>
      <c r="F150" s="15"/>
      <c r="G150" s="15"/>
      <c r="H150" s="15"/>
      <c r="I150" s="15"/>
      <c r="J150" s="20"/>
      <c r="K150" s="8"/>
      <c r="L150" s="8"/>
    </row>
    <row r="151" spans="1:12" ht="15.75" thickBot="1">
      <c r="A151" s="8">
        <v>44</v>
      </c>
      <c r="B151" s="8" t="s">
        <v>38</v>
      </c>
      <c r="C151" s="8" t="s">
        <v>12</v>
      </c>
      <c r="D151" s="29">
        <v>11255.51</v>
      </c>
      <c r="E151" s="29">
        <v>23.19</v>
      </c>
      <c r="F151" s="28">
        <v>2.27</v>
      </c>
      <c r="G151" s="28">
        <v>2</v>
      </c>
      <c r="H151" s="28"/>
      <c r="I151" s="28"/>
      <c r="J151" s="29">
        <f>SUM(D151:I151)</f>
        <v>11282.970000000001</v>
      </c>
      <c r="K151" s="8"/>
      <c r="L151" s="8"/>
    </row>
    <row r="152" spans="1:12">
      <c r="A152" s="8"/>
      <c r="B152" s="8"/>
      <c r="C152" s="8"/>
      <c r="D152" s="20"/>
      <c r="E152" s="20"/>
      <c r="F152" s="15"/>
      <c r="G152" s="15"/>
      <c r="H152" s="15"/>
      <c r="I152" s="15"/>
      <c r="J152" s="20"/>
      <c r="K152" s="8"/>
      <c r="L152" s="8"/>
    </row>
    <row r="153" spans="1:12" ht="15.75" thickBot="1">
      <c r="A153" s="8"/>
      <c r="B153" s="8"/>
      <c r="C153" s="8" t="s">
        <v>10</v>
      </c>
      <c r="D153" s="31">
        <f t="shared" ref="D153:I153" si="23">SUM(D151:D152)</f>
        <v>11255.51</v>
      </c>
      <c r="E153" s="31">
        <f t="shared" si="23"/>
        <v>23.19</v>
      </c>
      <c r="F153" s="30">
        <f t="shared" si="23"/>
        <v>2.27</v>
      </c>
      <c r="G153" s="30">
        <f t="shared" si="23"/>
        <v>2</v>
      </c>
      <c r="H153" s="30">
        <f t="shared" si="23"/>
        <v>0</v>
      </c>
      <c r="I153" s="30">
        <f t="shared" si="23"/>
        <v>0</v>
      </c>
      <c r="J153" s="31">
        <f>SUM(D153:I153)</f>
        <v>11282.970000000001</v>
      </c>
      <c r="K153" s="8"/>
      <c r="L153" s="8"/>
    </row>
    <row r="154" spans="1:12" ht="15.75" thickTop="1">
      <c r="A154" s="8"/>
      <c r="B154" s="8"/>
      <c r="C154" s="8"/>
      <c r="D154" s="20"/>
      <c r="E154" s="20"/>
      <c r="F154" s="15"/>
      <c r="G154" s="15" t="s">
        <v>70</v>
      </c>
      <c r="H154" s="15" t="s">
        <v>70</v>
      </c>
      <c r="I154" s="15" t="s">
        <v>70</v>
      </c>
      <c r="J154" s="20"/>
      <c r="K154" s="8"/>
      <c r="L154" s="8"/>
    </row>
    <row r="155" spans="1:12">
      <c r="A155" s="8"/>
      <c r="B155" s="8"/>
      <c r="C155" s="8"/>
      <c r="D155" s="20"/>
      <c r="E155" s="20"/>
      <c r="F155" s="15"/>
      <c r="G155" s="15"/>
      <c r="H155" s="15"/>
      <c r="I155" s="15"/>
      <c r="J155" s="20"/>
      <c r="K155" s="8"/>
      <c r="L155" s="8"/>
    </row>
    <row r="156" spans="1:12" ht="15.75" thickBot="1">
      <c r="A156" s="8">
        <v>45</v>
      </c>
      <c r="B156" s="8" t="s">
        <v>39</v>
      </c>
      <c r="C156" s="8" t="s">
        <v>12</v>
      </c>
      <c r="D156" s="29">
        <v>6085.26</v>
      </c>
      <c r="E156" s="29">
        <v>234.32</v>
      </c>
      <c r="F156" s="28">
        <v>88.35</v>
      </c>
      <c r="G156" s="28">
        <v>77.73</v>
      </c>
      <c r="H156" s="28"/>
      <c r="I156" s="28"/>
      <c r="J156" s="29">
        <f>SUM(D156:I156)</f>
        <v>6485.66</v>
      </c>
      <c r="K156" s="8"/>
      <c r="L156" s="8"/>
    </row>
    <row r="157" spans="1:12">
      <c r="A157" s="8"/>
      <c r="B157" s="8"/>
      <c r="C157" s="8"/>
      <c r="D157" s="20"/>
      <c r="E157" s="20"/>
      <c r="F157" s="15"/>
      <c r="G157" s="15"/>
      <c r="H157" s="15"/>
      <c r="I157" s="15"/>
      <c r="J157" s="20"/>
      <c r="K157" s="8"/>
      <c r="L157" s="8"/>
    </row>
    <row r="158" spans="1:12" ht="15.75" thickBot="1">
      <c r="A158" s="8"/>
      <c r="B158" s="8"/>
      <c r="C158" s="8" t="s">
        <v>10</v>
      </c>
      <c r="D158" s="31">
        <f t="shared" ref="D158:I158" si="24">SUM(D156:D157)</f>
        <v>6085.26</v>
      </c>
      <c r="E158" s="31">
        <f t="shared" si="24"/>
        <v>234.32</v>
      </c>
      <c r="F158" s="30">
        <f t="shared" si="24"/>
        <v>88.35</v>
      </c>
      <c r="G158" s="30">
        <f t="shared" si="24"/>
        <v>77.73</v>
      </c>
      <c r="H158" s="30">
        <f t="shared" si="24"/>
        <v>0</v>
      </c>
      <c r="I158" s="30">
        <f t="shared" si="24"/>
        <v>0</v>
      </c>
      <c r="J158" s="31">
        <f>SUM(D158:I158)</f>
        <v>6485.66</v>
      </c>
      <c r="K158" s="8"/>
      <c r="L158" s="8"/>
    </row>
    <row r="159" spans="1:12" ht="15.75" thickTop="1">
      <c r="A159" s="8"/>
      <c r="B159" s="8"/>
      <c r="C159" s="8"/>
      <c r="D159" s="20"/>
      <c r="E159" s="20"/>
      <c r="F159" s="15"/>
      <c r="G159" s="15"/>
      <c r="H159" s="15"/>
      <c r="I159" s="15"/>
      <c r="J159" s="20"/>
      <c r="K159" s="8"/>
      <c r="L159" s="8"/>
    </row>
    <row r="160" spans="1:12">
      <c r="A160" s="8"/>
      <c r="B160" s="8"/>
      <c r="C160" s="8"/>
      <c r="D160" s="20"/>
      <c r="E160" s="20"/>
      <c r="F160" s="15"/>
      <c r="G160" s="15"/>
      <c r="H160" s="15"/>
      <c r="I160" s="15"/>
      <c r="J160" s="20"/>
      <c r="K160" s="8"/>
      <c r="L160" s="8"/>
    </row>
    <row r="161" spans="1:12" ht="15.75" thickBot="1">
      <c r="A161" s="8">
        <v>46</v>
      </c>
      <c r="B161" s="8" t="s">
        <v>40</v>
      </c>
      <c r="C161" s="8" t="s">
        <v>12</v>
      </c>
      <c r="D161" s="29">
        <v>4852.5</v>
      </c>
      <c r="E161" s="29">
        <v>52.76</v>
      </c>
      <c r="F161" s="28">
        <v>16.02</v>
      </c>
      <c r="G161" s="28">
        <v>1.48</v>
      </c>
      <c r="H161" s="28"/>
      <c r="I161" s="28"/>
      <c r="J161" s="29">
        <f>SUM(D161:I161)</f>
        <v>4922.76</v>
      </c>
      <c r="K161" s="8"/>
      <c r="L161" s="8"/>
    </row>
    <row r="162" spans="1:12">
      <c r="A162" s="8"/>
      <c r="B162" s="8"/>
      <c r="C162" s="8"/>
      <c r="D162" s="20"/>
      <c r="E162" s="20"/>
      <c r="F162" s="15"/>
      <c r="G162" s="15"/>
      <c r="H162" s="15"/>
      <c r="I162" s="15"/>
      <c r="J162" s="20"/>
      <c r="K162" s="8"/>
      <c r="L162" s="8"/>
    </row>
    <row r="163" spans="1:12" ht="15.75" thickBot="1">
      <c r="A163" s="8"/>
      <c r="B163" s="8"/>
      <c r="C163" s="8" t="s">
        <v>10</v>
      </c>
      <c r="D163" s="31">
        <f t="shared" ref="D163:I163" si="25">SUM(D161:D162)</f>
        <v>4852.5</v>
      </c>
      <c r="E163" s="31">
        <f t="shared" si="25"/>
        <v>52.76</v>
      </c>
      <c r="F163" s="30">
        <f t="shared" si="25"/>
        <v>16.02</v>
      </c>
      <c r="G163" s="30">
        <f t="shared" si="25"/>
        <v>1.48</v>
      </c>
      <c r="H163" s="30">
        <f t="shared" si="25"/>
        <v>0</v>
      </c>
      <c r="I163" s="30">
        <f t="shared" si="25"/>
        <v>0</v>
      </c>
      <c r="J163" s="31">
        <f>SUM(D163:I163)</f>
        <v>4922.76</v>
      </c>
      <c r="K163" s="8"/>
      <c r="L163" s="8"/>
    </row>
    <row r="164" spans="1:12" ht="15.75" thickTop="1">
      <c r="A164" s="8"/>
      <c r="B164" s="8"/>
      <c r="C164" s="8"/>
      <c r="D164" s="20"/>
      <c r="E164" s="20"/>
      <c r="F164" s="15"/>
      <c r="G164" s="15"/>
      <c r="H164" s="15"/>
      <c r="I164" s="15"/>
      <c r="J164" s="20"/>
      <c r="K164" s="8"/>
      <c r="L164" s="8"/>
    </row>
    <row r="165" spans="1:12">
      <c r="A165" s="8"/>
      <c r="B165" s="8"/>
      <c r="C165" s="8"/>
      <c r="D165" s="20"/>
      <c r="E165" s="20"/>
      <c r="F165" s="15"/>
      <c r="G165" s="15"/>
      <c r="H165" s="15"/>
      <c r="I165" s="15"/>
      <c r="J165" s="20"/>
      <c r="K165" s="8"/>
      <c r="L165" s="8"/>
    </row>
    <row r="166" spans="1:12" ht="15.75" thickBot="1">
      <c r="A166" s="8">
        <v>47</v>
      </c>
      <c r="B166" s="8" t="s">
        <v>41</v>
      </c>
      <c r="C166" s="8" t="s">
        <v>12</v>
      </c>
      <c r="D166" s="29">
        <v>6274.06</v>
      </c>
      <c r="E166" s="29">
        <v>501.87</v>
      </c>
      <c r="F166" s="28">
        <v>210.92</v>
      </c>
      <c r="G166" s="28">
        <v>57.16</v>
      </c>
      <c r="H166" s="28"/>
      <c r="I166" s="28"/>
      <c r="J166" s="29">
        <f>SUM(D166:I166)</f>
        <v>7044.01</v>
      </c>
      <c r="K166" s="8"/>
      <c r="L166" s="8"/>
    </row>
    <row r="167" spans="1:12">
      <c r="A167" s="8"/>
      <c r="B167" s="8"/>
      <c r="C167" s="8"/>
      <c r="D167" s="20"/>
      <c r="E167" s="20"/>
      <c r="F167" s="15"/>
      <c r="G167" s="15"/>
      <c r="H167" s="15"/>
      <c r="I167" s="15"/>
      <c r="J167" s="20"/>
      <c r="K167" s="8"/>
      <c r="L167" s="8"/>
    </row>
    <row r="168" spans="1:12" ht="15.75" thickBot="1">
      <c r="A168" s="8"/>
      <c r="B168" s="8"/>
      <c r="C168" s="8" t="s">
        <v>10</v>
      </c>
      <c r="D168" s="31">
        <f t="shared" ref="D168:I168" si="26">SUM(D166:D167)</f>
        <v>6274.06</v>
      </c>
      <c r="E168" s="31">
        <f t="shared" si="26"/>
        <v>501.87</v>
      </c>
      <c r="F168" s="30">
        <f t="shared" si="26"/>
        <v>210.92</v>
      </c>
      <c r="G168" s="30">
        <f t="shared" si="26"/>
        <v>57.16</v>
      </c>
      <c r="H168" s="30">
        <f t="shared" si="26"/>
        <v>0</v>
      </c>
      <c r="I168" s="30">
        <f t="shared" si="26"/>
        <v>0</v>
      </c>
      <c r="J168" s="31">
        <f>SUM(D168:I168)</f>
        <v>7044.01</v>
      </c>
      <c r="K168" s="8"/>
      <c r="L168" s="8"/>
    </row>
    <row r="169" spans="1:12" ht="15.75" thickTop="1">
      <c r="A169" s="8"/>
      <c r="B169" s="8"/>
      <c r="C169" s="8"/>
      <c r="D169" s="20"/>
      <c r="E169" s="20"/>
      <c r="F169" s="15"/>
      <c r="G169" s="15"/>
      <c r="H169" s="15"/>
      <c r="I169" s="15"/>
      <c r="J169" s="20"/>
      <c r="K169" s="8"/>
      <c r="L169" s="8"/>
    </row>
    <row r="170" spans="1:12">
      <c r="A170" s="8"/>
      <c r="B170" s="8"/>
      <c r="C170" s="8"/>
      <c r="D170" s="20"/>
      <c r="E170" s="20"/>
      <c r="F170" s="15"/>
      <c r="G170" s="15"/>
      <c r="H170" s="15"/>
      <c r="I170" s="15"/>
      <c r="J170" s="20"/>
      <c r="K170" s="8"/>
      <c r="L170" s="8"/>
    </row>
    <row r="171" spans="1:12" ht="15.75" thickBot="1">
      <c r="A171" s="8">
        <v>48</v>
      </c>
      <c r="B171" s="8" t="s">
        <v>42</v>
      </c>
      <c r="C171" s="8" t="s">
        <v>12</v>
      </c>
      <c r="D171" s="29">
        <v>10731.73</v>
      </c>
      <c r="E171" s="29">
        <v>194.99</v>
      </c>
      <c r="F171" s="28">
        <v>196.76</v>
      </c>
      <c r="G171" s="28"/>
      <c r="H171" s="28"/>
      <c r="I171" s="28"/>
      <c r="J171" s="29">
        <f>SUM(D171:I171)</f>
        <v>11123.48</v>
      </c>
      <c r="K171" s="8"/>
      <c r="L171" s="8"/>
    </row>
    <row r="172" spans="1:12">
      <c r="A172" s="8"/>
      <c r="B172" s="8"/>
      <c r="C172" s="8"/>
      <c r="D172" s="20"/>
      <c r="E172" s="20"/>
      <c r="F172" s="15"/>
      <c r="G172" s="15"/>
      <c r="H172" s="15"/>
      <c r="I172" s="15"/>
      <c r="J172" s="20"/>
      <c r="K172" s="8"/>
      <c r="L172" s="8"/>
    </row>
    <row r="173" spans="1:12" ht="15.75" thickBot="1">
      <c r="A173" s="8"/>
      <c r="B173" s="8"/>
      <c r="C173" s="8"/>
      <c r="D173" s="31">
        <f t="shared" ref="D173:I173" si="27">SUM(D171:D172)</f>
        <v>10731.73</v>
      </c>
      <c r="E173" s="31">
        <f t="shared" si="27"/>
        <v>194.99</v>
      </c>
      <c r="F173" s="30">
        <f t="shared" si="27"/>
        <v>196.76</v>
      </c>
      <c r="G173" s="30">
        <f t="shared" si="27"/>
        <v>0</v>
      </c>
      <c r="H173" s="30">
        <f t="shared" si="27"/>
        <v>0</v>
      </c>
      <c r="I173" s="30">
        <f t="shared" si="27"/>
        <v>0</v>
      </c>
      <c r="J173" s="31">
        <f>SUM(D173:I173)</f>
        <v>11123.48</v>
      </c>
      <c r="K173" s="8"/>
      <c r="L173" s="8"/>
    </row>
    <row r="174" spans="1:12" ht="15.75" thickTop="1">
      <c r="A174" s="8"/>
      <c r="B174" s="8"/>
      <c r="C174" s="8"/>
      <c r="D174" s="20"/>
      <c r="E174" s="20"/>
      <c r="F174" s="15"/>
      <c r="G174" s="15"/>
      <c r="H174" s="15"/>
      <c r="I174" s="15"/>
      <c r="J174" s="20"/>
      <c r="K174" s="8"/>
      <c r="L174" s="8"/>
    </row>
    <row r="175" spans="1:12">
      <c r="A175" s="8"/>
      <c r="B175" s="8"/>
      <c r="C175" s="8"/>
      <c r="D175" s="20"/>
      <c r="E175" s="20"/>
      <c r="F175" s="15"/>
      <c r="G175" s="15"/>
      <c r="H175" s="15"/>
      <c r="I175" s="15"/>
      <c r="J175" s="20"/>
      <c r="K175" s="8"/>
      <c r="L175" s="8"/>
    </row>
    <row r="176" spans="1:12" ht="15.75" thickBot="1">
      <c r="A176" s="8">
        <v>49</v>
      </c>
      <c r="B176" s="8" t="s">
        <v>43</v>
      </c>
      <c r="C176" s="8" t="s">
        <v>12</v>
      </c>
      <c r="D176" s="29">
        <v>13626.14</v>
      </c>
      <c r="E176" s="29">
        <v>754.4</v>
      </c>
      <c r="F176" s="28">
        <v>456.32</v>
      </c>
      <c r="G176" s="28">
        <v>291.3</v>
      </c>
      <c r="H176" s="28">
        <v>31.7</v>
      </c>
      <c r="I176" s="28"/>
      <c r="J176" s="29">
        <f>SUM(D176:I176)</f>
        <v>15159.859999999999</v>
      </c>
      <c r="K176" s="8"/>
      <c r="L176" s="8"/>
    </row>
    <row r="177" spans="1:12">
      <c r="A177" s="8"/>
      <c r="B177" s="8"/>
      <c r="C177" s="8"/>
      <c r="D177" s="20"/>
      <c r="E177" s="20"/>
      <c r="F177" s="15"/>
      <c r="G177" s="15"/>
      <c r="H177" s="15"/>
      <c r="I177" s="15"/>
      <c r="J177" s="20"/>
      <c r="K177" s="8"/>
      <c r="L177" s="8"/>
    </row>
    <row r="178" spans="1:12" ht="15.75" thickBot="1">
      <c r="A178" s="8"/>
      <c r="B178" s="8"/>
      <c r="C178" s="8" t="s">
        <v>10</v>
      </c>
      <c r="D178" s="31">
        <f t="shared" ref="D178:I178" si="28">SUM(D176:D177)</f>
        <v>13626.14</v>
      </c>
      <c r="E178" s="31">
        <f t="shared" si="28"/>
        <v>754.4</v>
      </c>
      <c r="F178" s="30">
        <f t="shared" si="28"/>
        <v>456.32</v>
      </c>
      <c r="G178" s="30">
        <f t="shared" si="28"/>
        <v>291.3</v>
      </c>
      <c r="H178" s="30">
        <f t="shared" si="28"/>
        <v>31.7</v>
      </c>
      <c r="I178" s="30">
        <f t="shared" si="28"/>
        <v>0</v>
      </c>
      <c r="J178" s="31">
        <f>SUM(D178:I178)</f>
        <v>15159.859999999999</v>
      </c>
      <c r="K178" s="8"/>
      <c r="L178" s="8"/>
    </row>
    <row r="179" spans="1:12" ht="15.75" thickTop="1">
      <c r="A179" s="8"/>
      <c r="B179" s="8"/>
      <c r="C179" s="8"/>
      <c r="D179" s="20"/>
      <c r="E179" s="20"/>
      <c r="F179" s="15"/>
      <c r="G179" s="15"/>
      <c r="H179" s="15"/>
      <c r="I179" s="15"/>
      <c r="J179" s="20"/>
      <c r="K179" s="8"/>
      <c r="L179" s="8"/>
    </row>
    <row r="180" spans="1:12">
      <c r="A180" s="8"/>
      <c r="B180" s="8"/>
      <c r="C180" s="8"/>
      <c r="D180" s="20"/>
      <c r="E180" s="20"/>
      <c r="F180" s="15"/>
      <c r="G180" s="15"/>
      <c r="H180" s="15"/>
      <c r="I180" s="15"/>
      <c r="J180" s="20"/>
      <c r="K180" s="8"/>
      <c r="L180" s="8"/>
    </row>
    <row r="181" spans="1:12">
      <c r="A181" s="8">
        <v>50</v>
      </c>
      <c r="B181" s="8" t="s">
        <v>44</v>
      </c>
      <c r="C181" s="8" t="s">
        <v>12</v>
      </c>
      <c r="D181" s="20">
        <v>3722.15</v>
      </c>
      <c r="E181" s="20"/>
      <c r="F181" s="15"/>
      <c r="G181" s="15"/>
      <c r="H181" s="15"/>
      <c r="I181" s="15"/>
      <c r="J181" s="20">
        <f>SUM(D181:I181)</f>
        <v>3722.15</v>
      </c>
      <c r="K181" s="8"/>
      <c r="L181" s="8"/>
    </row>
    <row r="182" spans="1:12" ht="15.75" thickBot="1">
      <c r="A182" s="8"/>
      <c r="B182" s="8"/>
      <c r="C182" s="8" t="s">
        <v>13</v>
      </c>
      <c r="D182" s="29">
        <v>92.52</v>
      </c>
      <c r="E182" s="29"/>
      <c r="F182" s="28"/>
      <c r="G182" s="28"/>
      <c r="H182" s="28"/>
      <c r="I182" s="28"/>
      <c r="J182" s="29">
        <f>SUM(D182:I182)</f>
        <v>92.52</v>
      </c>
      <c r="K182" s="8"/>
      <c r="L182" s="8"/>
    </row>
    <row r="183" spans="1:12">
      <c r="A183" s="8"/>
      <c r="B183" s="8"/>
      <c r="C183" s="8"/>
      <c r="D183" s="20"/>
      <c r="E183" s="20"/>
      <c r="F183" s="15"/>
      <c r="G183" s="15"/>
      <c r="H183" s="15"/>
      <c r="I183" s="15"/>
      <c r="J183" s="20"/>
      <c r="K183" s="8"/>
      <c r="L183" s="8"/>
    </row>
    <row r="184" spans="1:12" ht="15.75" thickBot="1">
      <c r="A184" s="8"/>
      <c r="B184" s="8"/>
      <c r="C184" s="8" t="s">
        <v>10</v>
      </c>
      <c r="D184" s="31">
        <f t="shared" ref="D184:I184" si="29">SUM(D181:D182)</f>
        <v>3814.67</v>
      </c>
      <c r="E184" s="31">
        <f t="shared" si="29"/>
        <v>0</v>
      </c>
      <c r="F184" s="30">
        <f t="shared" si="29"/>
        <v>0</v>
      </c>
      <c r="G184" s="30">
        <f t="shared" si="29"/>
        <v>0</v>
      </c>
      <c r="H184" s="30">
        <f t="shared" si="29"/>
        <v>0</v>
      </c>
      <c r="I184" s="30">
        <f t="shared" si="29"/>
        <v>0</v>
      </c>
      <c r="J184" s="31">
        <f>SUM(D184:I184)</f>
        <v>3814.67</v>
      </c>
      <c r="K184" s="8"/>
      <c r="L184" s="8"/>
    </row>
    <row r="185" spans="1:12" ht="15.75" thickTop="1">
      <c r="A185" s="8"/>
      <c r="B185" s="8"/>
      <c r="C185" s="8"/>
      <c r="D185" s="20"/>
      <c r="E185" s="20"/>
      <c r="F185" s="15"/>
      <c r="G185" s="15"/>
      <c r="H185" s="15"/>
      <c r="I185" s="15"/>
      <c r="J185" s="20"/>
      <c r="K185" s="8"/>
      <c r="L185" s="8"/>
    </row>
    <row r="186" spans="1:12">
      <c r="A186" s="8"/>
      <c r="B186" s="8"/>
      <c r="C186" s="8"/>
      <c r="D186" s="20"/>
      <c r="E186" s="20"/>
      <c r="F186" s="15"/>
      <c r="G186" s="15"/>
      <c r="H186" s="15"/>
      <c r="I186" s="15"/>
      <c r="J186" s="20"/>
      <c r="K186" s="8"/>
      <c r="L186" s="8"/>
    </row>
    <row r="187" spans="1:12">
      <c r="A187" s="8">
        <v>51</v>
      </c>
      <c r="B187" s="8" t="s">
        <v>45</v>
      </c>
      <c r="C187" s="8" t="s">
        <v>12</v>
      </c>
      <c r="D187" s="20">
        <v>12619.21</v>
      </c>
      <c r="E187" s="20">
        <v>589.89</v>
      </c>
      <c r="F187" s="15">
        <v>525.98</v>
      </c>
      <c r="G187" s="15">
        <v>530.44000000000005</v>
      </c>
      <c r="H187" s="15">
        <v>246.17</v>
      </c>
      <c r="I187" s="15"/>
      <c r="J187" s="20">
        <f>SUM(D187:I187)</f>
        <v>14511.689999999999</v>
      </c>
      <c r="K187" s="8"/>
      <c r="L187" s="8"/>
    </row>
    <row r="188" spans="1:12">
      <c r="A188" s="8"/>
      <c r="B188" s="8"/>
      <c r="C188" s="8" t="s">
        <v>13</v>
      </c>
      <c r="D188" s="20"/>
      <c r="E188" s="20"/>
      <c r="F188" s="15"/>
      <c r="G188" s="15"/>
      <c r="H188" s="15"/>
      <c r="I188" s="15"/>
      <c r="J188" s="20">
        <f>SUM(D188:I188)</f>
        <v>0</v>
      </c>
      <c r="K188" s="8"/>
      <c r="L188" s="8"/>
    </row>
    <row r="189" spans="1:12" ht="15.75" thickBot="1">
      <c r="A189" s="8"/>
      <c r="B189" s="8"/>
      <c r="C189" s="8" t="s">
        <v>46</v>
      </c>
      <c r="D189" s="29">
        <v>258.63</v>
      </c>
      <c r="E189" s="29">
        <v>11.99</v>
      </c>
      <c r="F189" s="28">
        <v>10.67</v>
      </c>
      <c r="G189" s="28">
        <v>10.76</v>
      </c>
      <c r="H189" s="28">
        <v>5.0599999999999996</v>
      </c>
      <c r="I189" s="28"/>
      <c r="J189" s="29">
        <f>SUM(D189:I189)</f>
        <v>297.11</v>
      </c>
      <c r="K189" s="8"/>
      <c r="L189" s="8"/>
    </row>
    <row r="190" spans="1:12">
      <c r="A190" s="8"/>
      <c r="B190" s="8"/>
      <c r="C190" s="8"/>
      <c r="D190" s="20"/>
      <c r="E190" s="20"/>
      <c r="F190" s="15"/>
      <c r="G190" s="15"/>
      <c r="H190" s="15"/>
      <c r="I190" s="15"/>
      <c r="J190" s="20"/>
      <c r="K190" s="8"/>
      <c r="L190" s="8"/>
    </row>
    <row r="191" spans="1:12" ht="15.75" thickBot="1">
      <c r="A191" s="8"/>
      <c r="B191" s="8"/>
      <c r="C191" s="8" t="s">
        <v>10</v>
      </c>
      <c r="D191" s="31">
        <f t="shared" ref="D191:I191" si="30">SUM(D187:D189)</f>
        <v>12877.839999999998</v>
      </c>
      <c r="E191" s="31">
        <f t="shared" si="30"/>
        <v>601.88</v>
      </c>
      <c r="F191" s="30">
        <f t="shared" si="30"/>
        <v>536.65</v>
      </c>
      <c r="G191" s="30">
        <f t="shared" si="30"/>
        <v>541.20000000000005</v>
      </c>
      <c r="H191" s="30">
        <f t="shared" si="30"/>
        <v>251.23</v>
      </c>
      <c r="I191" s="30">
        <f t="shared" si="30"/>
        <v>0</v>
      </c>
      <c r="J191" s="31">
        <f>SUM(D191:I191)</f>
        <v>14808.799999999997</v>
      </c>
      <c r="K191" s="8"/>
      <c r="L191" s="8"/>
    </row>
    <row r="192" spans="1:12" ht="15.75" thickTop="1">
      <c r="A192" s="8"/>
      <c r="B192" s="8"/>
      <c r="C192" s="8"/>
      <c r="D192" s="20"/>
      <c r="E192" s="20"/>
      <c r="F192" s="15"/>
      <c r="G192" s="15"/>
      <c r="H192" s="15"/>
      <c r="I192" s="15"/>
      <c r="J192" s="20"/>
      <c r="K192" s="8"/>
      <c r="L192" s="8"/>
    </row>
    <row r="193" spans="1:12">
      <c r="A193" s="8"/>
      <c r="B193" s="8"/>
      <c r="C193" s="8"/>
      <c r="D193" s="20"/>
      <c r="E193" s="20"/>
      <c r="F193" s="15"/>
      <c r="G193" s="15"/>
      <c r="H193" s="15"/>
      <c r="I193" s="15"/>
      <c r="J193" s="20"/>
      <c r="K193" s="8"/>
      <c r="L193" s="8"/>
    </row>
    <row r="194" spans="1:12">
      <c r="A194" s="8">
        <v>52</v>
      </c>
      <c r="B194" s="8" t="s">
        <v>47</v>
      </c>
      <c r="C194" s="8" t="s">
        <v>12</v>
      </c>
      <c r="D194" s="20">
        <v>8998.9699999999993</v>
      </c>
      <c r="E194" s="20"/>
      <c r="F194" s="15"/>
      <c r="G194" s="15"/>
      <c r="H194" s="15"/>
      <c r="I194" s="15"/>
      <c r="J194" s="20">
        <f>SUM(D194:I194)</f>
        <v>8998.9699999999993</v>
      </c>
      <c r="K194" s="8"/>
      <c r="L194" s="8"/>
    </row>
    <row r="195" spans="1:12" ht="15.75" thickBot="1">
      <c r="A195" s="8"/>
      <c r="B195" s="8"/>
      <c r="C195" s="8" t="s">
        <v>13</v>
      </c>
      <c r="D195" s="29"/>
      <c r="E195" s="29"/>
      <c r="F195" s="28"/>
      <c r="G195" s="28"/>
      <c r="H195" s="28"/>
      <c r="I195" s="28"/>
      <c r="J195" s="34">
        <v>0</v>
      </c>
      <c r="K195" s="8"/>
      <c r="L195" s="8"/>
    </row>
    <row r="196" spans="1:12">
      <c r="A196" s="8"/>
      <c r="B196" s="8"/>
      <c r="C196" s="8"/>
      <c r="D196" s="20"/>
      <c r="E196" s="20"/>
      <c r="F196" s="15"/>
      <c r="G196" s="15"/>
      <c r="H196" s="15"/>
      <c r="I196" s="15"/>
      <c r="J196" s="20"/>
      <c r="K196" s="8"/>
      <c r="L196" s="8"/>
    </row>
    <row r="197" spans="1:12" ht="15.75" thickBot="1">
      <c r="A197" s="8"/>
      <c r="B197" s="8"/>
      <c r="C197" s="8" t="s">
        <v>10</v>
      </c>
      <c r="D197" s="31">
        <f t="shared" ref="D197:I197" si="31">SUM(D194:D195)</f>
        <v>8998.9699999999993</v>
      </c>
      <c r="E197" s="31">
        <f t="shared" si="31"/>
        <v>0</v>
      </c>
      <c r="F197" s="30">
        <f t="shared" si="31"/>
        <v>0</v>
      </c>
      <c r="G197" s="30">
        <f t="shared" si="31"/>
        <v>0</v>
      </c>
      <c r="H197" s="30">
        <f t="shared" si="31"/>
        <v>0</v>
      </c>
      <c r="I197" s="30">
        <f t="shared" si="31"/>
        <v>0</v>
      </c>
      <c r="J197" s="31">
        <f>SUM(D197:I197)</f>
        <v>8998.9699999999993</v>
      </c>
      <c r="K197" s="8"/>
      <c r="L197" s="8"/>
    </row>
    <row r="198" spans="1:12" ht="15.75" thickTop="1">
      <c r="A198" s="8"/>
      <c r="B198" s="8"/>
      <c r="C198" s="8"/>
      <c r="D198" s="20"/>
      <c r="E198" s="20"/>
      <c r="F198" s="15"/>
      <c r="G198" s="15"/>
      <c r="H198" s="15"/>
      <c r="I198" s="15"/>
      <c r="J198" s="20"/>
      <c r="K198" s="8"/>
      <c r="L198" s="8"/>
    </row>
    <row r="199" spans="1:12">
      <c r="A199" s="8"/>
      <c r="B199" s="8"/>
      <c r="C199" s="8"/>
      <c r="D199" s="20"/>
      <c r="E199" s="20"/>
      <c r="F199" s="15"/>
      <c r="G199" s="15"/>
      <c r="H199" s="15"/>
      <c r="I199" s="15"/>
      <c r="J199" s="20"/>
      <c r="K199" s="8"/>
      <c r="L199" s="8"/>
    </row>
    <row r="200" spans="1:12">
      <c r="A200" s="8">
        <v>53</v>
      </c>
      <c r="B200" s="8" t="s">
        <v>48</v>
      </c>
      <c r="C200" s="8" t="s">
        <v>12</v>
      </c>
      <c r="D200" s="20">
        <v>12441.22</v>
      </c>
      <c r="E200" s="20">
        <v>87.51</v>
      </c>
      <c r="F200" s="15">
        <v>23.51</v>
      </c>
      <c r="G200" s="15">
        <v>19.5</v>
      </c>
      <c r="H200" s="15">
        <v>1.91</v>
      </c>
      <c r="I200" s="15">
        <v>1.82</v>
      </c>
      <c r="J200" s="20">
        <f>SUM(D200:I200)</f>
        <v>12575.47</v>
      </c>
      <c r="K200" s="8"/>
      <c r="L200" s="8"/>
    </row>
    <row r="201" spans="1:12">
      <c r="A201" s="8"/>
      <c r="B201" s="8"/>
      <c r="C201" s="8" t="s">
        <v>35</v>
      </c>
      <c r="D201" s="20">
        <v>691.1</v>
      </c>
      <c r="E201" s="20">
        <v>0.44</v>
      </c>
      <c r="F201" s="15"/>
      <c r="G201" s="15">
        <v>0.09</v>
      </c>
      <c r="H201" s="15">
        <v>0.05</v>
      </c>
      <c r="I201" s="15">
        <v>0.06</v>
      </c>
      <c r="J201" s="20">
        <f>SUM(D201:I201)</f>
        <v>691.74</v>
      </c>
      <c r="K201" s="8"/>
      <c r="L201" s="8"/>
    </row>
    <row r="202" spans="1:12">
      <c r="A202" s="8"/>
      <c r="B202" s="8"/>
      <c r="C202" s="8" t="s">
        <v>97</v>
      </c>
      <c r="D202" s="20">
        <v>317.94</v>
      </c>
      <c r="E202" s="20"/>
      <c r="F202" s="15">
        <v>0.52</v>
      </c>
      <c r="G202" s="15">
        <v>0.01</v>
      </c>
      <c r="H202" s="15"/>
      <c r="I202" s="15"/>
      <c r="J202" s="20">
        <f>SUM(D202:I202)</f>
        <v>318.46999999999997</v>
      </c>
      <c r="K202" s="8"/>
      <c r="L202" s="8"/>
    </row>
    <row r="203" spans="1:12" ht="15.75" thickBot="1">
      <c r="A203" s="8"/>
      <c r="B203" s="8"/>
      <c r="C203" s="8" t="s">
        <v>98</v>
      </c>
      <c r="D203" s="29">
        <v>2073.7600000000002</v>
      </c>
      <c r="E203" s="29">
        <v>0.48</v>
      </c>
      <c r="F203" s="28"/>
      <c r="G203" s="28">
        <v>0.01</v>
      </c>
      <c r="H203" s="28"/>
      <c r="I203" s="28"/>
      <c r="J203" s="29">
        <f>SUM(D203:I203)</f>
        <v>2074.2500000000005</v>
      </c>
      <c r="K203" s="8"/>
      <c r="L203" s="8"/>
    </row>
    <row r="204" spans="1:12">
      <c r="A204" s="8"/>
      <c r="B204" s="8"/>
      <c r="C204" s="8"/>
      <c r="D204" s="20"/>
      <c r="E204" s="20"/>
      <c r="F204" s="15"/>
      <c r="G204" s="15"/>
      <c r="H204" s="15"/>
      <c r="I204" s="15"/>
      <c r="J204" s="20"/>
      <c r="K204" s="8"/>
      <c r="L204" s="8"/>
    </row>
    <row r="205" spans="1:12" ht="15.75" thickBot="1">
      <c r="A205" s="8"/>
      <c r="B205" s="8"/>
      <c r="C205" s="8" t="s">
        <v>10</v>
      </c>
      <c r="D205" s="31">
        <f t="shared" ref="D205:J205" si="32">SUM(D200:D204)</f>
        <v>15524.02</v>
      </c>
      <c r="E205" s="31">
        <f t="shared" si="32"/>
        <v>88.43</v>
      </c>
      <c r="F205" s="30">
        <f t="shared" si="32"/>
        <v>24.03</v>
      </c>
      <c r="G205" s="30">
        <f t="shared" si="32"/>
        <v>19.610000000000003</v>
      </c>
      <c r="H205" s="30">
        <f t="shared" si="32"/>
        <v>1.96</v>
      </c>
      <c r="I205" s="30">
        <f t="shared" si="32"/>
        <v>1.8800000000000001</v>
      </c>
      <c r="J205" s="30">
        <f t="shared" si="32"/>
        <v>15659.929999999998</v>
      </c>
      <c r="K205" s="8"/>
      <c r="L205" s="8"/>
    </row>
    <row r="206" spans="1:12" ht="15.75" thickTop="1">
      <c r="A206" s="8"/>
      <c r="B206" s="8"/>
      <c r="C206" s="8"/>
      <c r="D206" s="20"/>
      <c r="E206" s="20"/>
      <c r="F206" s="15"/>
      <c r="G206" s="15"/>
      <c r="H206" s="15"/>
      <c r="I206" s="15"/>
      <c r="J206" s="20"/>
      <c r="K206" s="8"/>
      <c r="L206" s="8"/>
    </row>
    <row r="207" spans="1:12">
      <c r="A207" s="8"/>
      <c r="B207" s="8"/>
      <c r="C207" s="8"/>
      <c r="D207" s="20"/>
      <c r="E207" s="20"/>
      <c r="F207" s="15"/>
      <c r="G207" s="15"/>
      <c r="H207" s="15"/>
      <c r="I207" s="15"/>
      <c r="J207" s="20"/>
      <c r="K207" s="8"/>
      <c r="L207" s="8"/>
    </row>
    <row r="208" spans="1:12">
      <c r="A208" s="8">
        <v>54</v>
      </c>
      <c r="B208" s="8" t="s">
        <v>49</v>
      </c>
      <c r="C208" s="8" t="s">
        <v>12</v>
      </c>
      <c r="D208" s="20">
        <v>8061.41</v>
      </c>
      <c r="E208" s="20">
        <v>178.07</v>
      </c>
      <c r="F208" s="15">
        <v>20.84</v>
      </c>
      <c r="G208" s="15"/>
      <c r="H208" s="15"/>
      <c r="I208" s="15"/>
      <c r="J208" s="20">
        <f>SUM(D208:I208)</f>
        <v>8260.32</v>
      </c>
      <c r="K208" s="8"/>
      <c r="L208" s="8"/>
    </row>
    <row r="209" spans="1:12" ht="15.75" thickBot="1">
      <c r="A209" s="8"/>
      <c r="B209" s="8"/>
      <c r="C209" s="8" t="s">
        <v>104</v>
      </c>
      <c r="D209" s="29">
        <v>784.9</v>
      </c>
      <c r="E209" s="29"/>
      <c r="F209" s="28"/>
      <c r="G209" s="28"/>
      <c r="H209" s="28"/>
      <c r="I209" s="28"/>
      <c r="J209" s="29">
        <f>SUM(D209:I209)</f>
        <v>784.9</v>
      </c>
      <c r="K209" s="8"/>
      <c r="L209" s="8"/>
    </row>
    <row r="210" spans="1:12">
      <c r="A210" s="8"/>
      <c r="B210" s="8"/>
      <c r="C210" s="8"/>
      <c r="D210" s="20"/>
      <c r="E210" s="20"/>
      <c r="F210" s="15"/>
      <c r="G210" s="15"/>
      <c r="H210" s="15"/>
      <c r="I210" s="15"/>
      <c r="J210" s="20"/>
      <c r="K210" s="8"/>
      <c r="L210" s="8"/>
    </row>
    <row r="211" spans="1:12" ht="15.75" thickBot="1">
      <c r="A211" s="8"/>
      <c r="B211" s="8"/>
      <c r="C211" s="8" t="s">
        <v>10</v>
      </c>
      <c r="D211" s="31">
        <f t="shared" ref="D211:I211" si="33">SUM(D208:D210)</f>
        <v>8846.31</v>
      </c>
      <c r="E211" s="31">
        <f t="shared" si="33"/>
        <v>178.07</v>
      </c>
      <c r="F211" s="30">
        <f t="shared" si="33"/>
        <v>20.84</v>
      </c>
      <c r="G211" s="30">
        <f t="shared" si="33"/>
        <v>0</v>
      </c>
      <c r="H211" s="30">
        <f t="shared" si="33"/>
        <v>0</v>
      </c>
      <c r="I211" s="30">
        <f t="shared" si="33"/>
        <v>0</v>
      </c>
      <c r="J211" s="31">
        <f>SUM(D211:I211)</f>
        <v>9045.2199999999993</v>
      </c>
      <c r="K211" s="8"/>
      <c r="L211" s="8"/>
    </row>
    <row r="212" spans="1:12" ht="15.75" thickTop="1">
      <c r="A212" s="8"/>
      <c r="B212" s="8"/>
      <c r="C212" s="8"/>
      <c r="D212" s="20"/>
      <c r="E212" s="20"/>
      <c r="F212" s="15"/>
      <c r="G212" s="15"/>
      <c r="H212" s="15"/>
      <c r="I212" s="15"/>
      <c r="J212" s="20"/>
      <c r="K212" s="8"/>
      <c r="L212" s="8"/>
    </row>
    <row r="213" spans="1:12">
      <c r="A213" s="8"/>
      <c r="B213" s="8"/>
      <c r="C213" s="8"/>
      <c r="D213" s="20"/>
      <c r="E213" s="20"/>
      <c r="F213" s="15"/>
      <c r="G213" s="15"/>
      <c r="H213" s="15"/>
      <c r="I213" s="15"/>
      <c r="J213" s="20"/>
      <c r="K213" s="8"/>
      <c r="L213" s="8"/>
    </row>
    <row r="214" spans="1:12">
      <c r="A214" s="8">
        <v>55</v>
      </c>
      <c r="B214" s="8" t="s">
        <v>50</v>
      </c>
      <c r="C214" s="8" t="s">
        <v>12</v>
      </c>
      <c r="D214" s="20">
        <v>17381.12</v>
      </c>
      <c r="E214" s="20">
        <v>462.2</v>
      </c>
      <c r="F214" s="15">
        <v>98.81</v>
      </c>
      <c r="G214" s="15">
        <v>46.58</v>
      </c>
      <c r="H214" s="15">
        <v>26.32</v>
      </c>
      <c r="I214" s="15"/>
      <c r="J214" s="20">
        <f>SUM(D214:I214)</f>
        <v>18015.030000000002</v>
      </c>
      <c r="K214" s="8"/>
      <c r="L214" s="8"/>
    </row>
    <row r="215" spans="1:12" ht="15.75" thickBot="1">
      <c r="A215" s="8"/>
      <c r="B215" s="8"/>
      <c r="C215" s="8" t="s">
        <v>13</v>
      </c>
      <c r="D215" s="29">
        <v>429.79</v>
      </c>
      <c r="E215" s="29">
        <v>13.01</v>
      </c>
      <c r="F215" s="28">
        <v>3.03</v>
      </c>
      <c r="G215" s="28">
        <v>1.77</v>
      </c>
      <c r="H215" s="28">
        <v>0.89</v>
      </c>
      <c r="I215" s="28"/>
      <c r="J215" s="29">
        <f>SUM(D215:I215)</f>
        <v>448.48999999999995</v>
      </c>
      <c r="K215" s="8"/>
      <c r="L215" s="8"/>
    </row>
    <row r="216" spans="1:12">
      <c r="A216" s="8"/>
      <c r="B216" s="8"/>
      <c r="C216" s="8"/>
      <c r="D216" s="20"/>
      <c r="E216" s="20"/>
      <c r="F216" s="15"/>
      <c r="G216" s="15"/>
      <c r="H216" s="15"/>
      <c r="I216" s="15"/>
      <c r="J216" s="20"/>
      <c r="K216" s="8"/>
      <c r="L216" s="8"/>
    </row>
    <row r="217" spans="1:12" ht="15.75" thickBot="1">
      <c r="A217" s="8"/>
      <c r="B217" s="8"/>
      <c r="C217" s="8" t="s">
        <v>10</v>
      </c>
      <c r="D217" s="31">
        <f t="shared" ref="D217:I217" si="34">SUM(D214:D215)</f>
        <v>17810.91</v>
      </c>
      <c r="E217" s="31">
        <f t="shared" si="34"/>
        <v>475.21</v>
      </c>
      <c r="F217" s="30">
        <f t="shared" si="34"/>
        <v>101.84</v>
      </c>
      <c r="G217" s="30">
        <f t="shared" si="34"/>
        <v>48.35</v>
      </c>
      <c r="H217" s="30">
        <f t="shared" si="34"/>
        <v>27.21</v>
      </c>
      <c r="I217" s="30">
        <f t="shared" si="34"/>
        <v>0</v>
      </c>
      <c r="J217" s="31">
        <f>SUM(D217:I217)</f>
        <v>18463.519999999997</v>
      </c>
      <c r="K217" s="8"/>
      <c r="L217" s="8"/>
    </row>
    <row r="218" spans="1:12" ht="15.75" thickTop="1">
      <c r="A218" s="8"/>
      <c r="B218" s="8"/>
      <c r="C218" s="8"/>
      <c r="D218" s="20"/>
      <c r="E218" s="20"/>
      <c r="F218" s="15"/>
      <c r="G218" s="15"/>
      <c r="H218" s="15"/>
      <c r="I218" s="15"/>
      <c r="J218" s="20"/>
      <c r="K218" s="8"/>
      <c r="L218" s="8"/>
    </row>
    <row r="219" spans="1:12">
      <c r="A219" s="8"/>
      <c r="B219" s="8"/>
      <c r="C219" s="8"/>
      <c r="D219" s="20"/>
      <c r="E219" s="20"/>
      <c r="F219" s="15"/>
      <c r="G219" s="15"/>
      <c r="H219" s="15"/>
      <c r="I219" s="15"/>
      <c r="J219" s="20"/>
      <c r="K219" s="8"/>
      <c r="L219" s="8"/>
    </row>
    <row r="220" spans="1:12">
      <c r="A220" s="8">
        <v>56</v>
      </c>
      <c r="B220" s="8" t="s">
        <v>51</v>
      </c>
      <c r="C220" s="8" t="s">
        <v>12</v>
      </c>
      <c r="D220" s="20">
        <v>6636.57</v>
      </c>
      <c r="E220" s="20">
        <v>144.66999999999999</v>
      </c>
      <c r="F220" s="15"/>
      <c r="G220" s="15"/>
      <c r="H220" s="15"/>
      <c r="I220" s="15"/>
      <c r="J220" s="20">
        <f>SUM(D220:I220)</f>
        <v>6781.24</v>
      </c>
      <c r="K220" s="8"/>
      <c r="L220" s="8"/>
    </row>
    <row r="221" spans="1:12" ht="15.75" thickBot="1">
      <c r="A221" s="8"/>
      <c r="B221" s="8"/>
      <c r="C221" s="8" t="s">
        <v>13</v>
      </c>
      <c r="D221" s="29">
        <v>132.72999999999999</v>
      </c>
      <c r="E221" s="29">
        <v>3.03</v>
      </c>
      <c r="F221" s="28"/>
      <c r="G221" s="28"/>
      <c r="H221" s="28"/>
      <c r="I221" s="28"/>
      <c r="J221" s="29">
        <f>SUM(D221:I221)</f>
        <v>135.76</v>
      </c>
      <c r="K221" s="8"/>
      <c r="L221" s="8"/>
    </row>
    <row r="222" spans="1:12">
      <c r="A222" s="8"/>
      <c r="B222" s="8"/>
      <c r="C222" s="8"/>
      <c r="D222" s="20"/>
      <c r="E222" s="20"/>
      <c r="F222" s="15"/>
      <c r="G222" s="15"/>
      <c r="H222" s="15"/>
      <c r="I222" s="15"/>
      <c r="J222" s="20"/>
      <c r="K222" s="8"/>
      <c r="L222" s="8"/>
    </row>
    <row r="223" spans="1:12" ht="15.75" thickBot="1">
      <c r="A223" s="8"/>
      <c r="B223" s="8"/>
      <c r="C223" s="8" t="s">
        <v>10</v>
      </c>
      <c r="D223" s="31">
        <f t="shared" ref="D223:I223" si="35">SUM(D220:D221)</f>
        <v>6769.2999999999993</v>
      </c>
      <c r="E223" s="31">
        <f t="shared" si="35"/>
        <v>147.69999999999999</v>
      </c>
      <c r="F223" s="30">
        <f t="shared" si="35"/>
        <v>0</v>
      </c>
      <c r="G223" s="30">
        <f t="shared" si="35"/>
        <v>0</v>
      </c>
      <c r="H223" s="30">
        <f t="shared" si="35"/>
        <v>0</v>
      </c>
      <c r="I223" s="30">
        <f t="shared" si="35"/>
        <v>0</v>
      </c>
      <c r="J223" s="31">
        <f>SUM(D223:I223)</f>
        <v>6916.9999999999991</v>
      </c>
      <c r="K223" s="8"/>
      <c r="L223" s="8"/>
    </row>
    <row r="224" spans="1:12" ht="15.75" thickTop="1">
      <c r="A224" s="8"/>
      <c r="B224" s="8"/>
      <c r="C224" s="8"/>
      <c r="D224" s="20"/>
      <c r="E224" s="20"/>
      <c r="F224" s="15"/>
      <c r="G224" s="15"/>
      <c r="H224" s="15"/>
      <c r="I224" s="15"/>
      <c r="J224" s="20"/>
      <c r="K224" s="8"/>
      <c r="L224" s="8"/>
    </row>
    <row r="225" spans="1:12">
      <c r="A225" s="8"/>
      <c r="B225" s="8"/>
      <c r="C225" s="8"/>
      <c r="D225" s="20"/>
      <c r="E225" s="20"/>
      <c r="F225" s="15"/>
      <c r="G225" s="15"/>
      <c r="H225" s="15"/>
      <c r="I225" s="15"/>
      <c r="J225" s="20"/>
      <c r="K225" s="8"/>
      <c r="L225" s="8"/>
    </row>
    <row r="226" spans="1:12">
      <c r="A226" s="8">
        <v>57</v>
      </c>
      <c r="B226" s="8" t="s">
        <v>52</v>
      </c>
      <c r="C226" s="8" t="s">
        <v>12</v>
      </c>
      <c r="D226" s="20">
        <v>17956.080000000002</v>
      </c>
      <c r="E226" s="20">
        <v>914.68</v>
      </c>
      <c r="F226" s="15">
        <v>528.11</v>
      </c>
      <c r="G226" s="15">
        <v>599.61</v>
      </c>
      <c r="H226" s="15">
        <v>33.770000000000003</v>
      </c>
      <c r="I226" s="15"/>
      <c r="J226" s="20">
        <f>SUM(D226:I226)</f>
        <v>20032.250000000004</v>
      </c>
      <c r="K226" s="8"/>
      <c r="L226" s="8"/>
    </row>
    <row r="227" spans="1:12" ht="15.75" thickBot="1">
      <c r="A227" s="8"/>
      <c r="B227" s="8"/>
      <c r="C227" s="8" t="s">
        <v>13</v>
      </c>
      <c r="D227" s="29">
        <v>459.28</v>
      </c>
      <c r="E227" s="29">
        <v>20.239999999999998</v>
      </c>
      <c r="F227" s="28">
        <v>12.83</v>
      </c>
      <c r="G227" s="28">
        <v>14.28</v>
      </c>
      <c r="H227" s="28">
        <v>0.64</v>
      </c>
      <c r="I227" s="28"/>
      <c r="J227" s="29">
        <f>SUM(D227:I227)</f>
        <v>507.26999999999992</v>
      </c>
      <c r="K227" s="8"/>
      <c r="L227" s="8"/>
    </row>
    <row r="228" spans="1:12">
      <c r="A228" s="8"/>
      <c r="B228" s="8"/>
      <c r="C228" s="8"/>
      <c r="D228" s="20"/>
      <c r="E228" s="20"/>
      <c r="F228" s="15"/>
      <c r="G228" s="15"/>
      <c r="H228" s="15"/>
      <c r="I228" s="15"/>
      <c r="J228" s="20"/>
      <c r="K228" s="8"/>
      <c r="L228" s="8"/>
    </row>
    <row r="229" spans="1:12" ht="15.75" thickBot="1">
      <c r="A229" s="8"/>
      <c r="B229" s="8"/>
      <c r="C229" s="8" t="s">
        <v>10</v>
      </c>
      <c r="D229" s="31">
        <f t="shared" ref="D229:I229" si="36">SUM(D226:D227)</f>
        <v>18415.36</v>
      </c>
      <c r="E229" s="31">
        <f t="shared" si="36"/>
        <v>934.92</v>
      </c>
      <c r="F229" s="30">
        <f t="shared" si="36"/>
        <v>540.94000000000005</v>
      </c>
      <c r="G229" s="30">
        <f t="shared" si="36"/>
        <v>613.89</v>
      </c>
      <c r="H229" s="30">
        <f t="shared" si="36"/>
        <v>34.410000000000004</v>
      </c>
      <c r="I229" s="30">
        <f t="shared" si="36"/>
        <v>0</v>
      </c>
      <c r="J229" s="31">
        <f>SUM(D229:I229)</f>
        <v>20539.519999999997</v>
      </c>
      <c r="K229" s="8"/>
      <c r="L229" s="8"/>
    </row>
    <row r="230" spans="1:12" ht="15.75" thickTop="1">
      <c r="A230" s="8"/>
      <c r="B230" s="8"/>
      <c r="C230" s="8"/>
      <c r="D230" s="20"/>
      <c r="E230" s="20"/>
      <c r="F230" s="15"/>
      <c r="G230" s="15"/>
      <c r="H230" s="15"/>
      <c r="I230" s="15"/>
      <c r="J230" s="20"/>
      <c r="K230" s="8"/>
      <c r="L230" s="8"/>
    </row>
    <row r="231" spans="1:12">
      <c r="A231" s="8"/>
      <c r="B231" s="8"/>
      <c r="C231" s="8"/>
      <c r="D231" s="20"/>
      <c r="E231" s="20"/>
      <c r="F231" s="15"/>
      <c r="G231" s="15"/>
      <c r="H231" s="15"/>
      <c r="I231" s="15"/>
      <c r="J231" s="20"/>
      <c r="K231" s="8"/>
      <c r="L231" s="8"/>
    </row>
    <row r="232" spans="1:12">
      <c r="A232" s="8">
        <v>58</v>
      </c>
      <c r="B232" s="8" t="s">
        <v>53</v>
      </c>
      <c r="C232" s="8" t="s">
        <v>12</v>
      </c>
      <c r="D232" s="20">
        <v>10209.629999999999</v>
      </c>
      <c r="E232" s="20">
        <v>9.3000000000000007</v>
      </c>
      <c r="F232" s="15"/>
      <c r="G232" s="15"/>
      <c r="H232" s="15"/>
      <c r="I232" s="15"/>
      <c r="J232" s="20">
        <f>SUM(D232:I232)</f>
        <v>10218.929999999998</v>
      </c>
      <c r="K232" s="8"/>
      <c r="L232" s="8"/>
    </row>
    <row r="233" spans="1:12" ht="15.75" thickBot="1">
      <c r="A233" s="8"/>
      <c r="B233" s="8"/>
      <c r="C233" s="8" t="s">
        <v>13</v>
      </c>
      <c r="D233" s="29"/>
      <c r="E233" s="29"/>
      <c r="F233" s="28"/>
      <c r="G233" s="28"/>
      <c r="H233" s="28"/>
      <c r="I233" s="28"/>
      <c r="J233" s="34">
        <v>0</v>
      </c>
      <c r="K233" s="8"/>
      <c r="L233" s="8"/>
    </row>
    <row r="234" spans="1:12">
      <c r="A234" s="8"/>
      <c r="B234" s="8"/>
      <c r="C234" s="8"/>
      <c r="D234" s="20"/>
      <c r="E234" s="20"/>
      <c r="F234" s="15"/>
      <c r="G234" s="15"/>
      <c r="H234" s="15"/>
      <c r="I234" s="15"/>
      <c r="J234" s="20"/>
      <c r="K234" s="8"/>
      <c r="L234" s="8"/>
    </row>
    <row r="235" spans="1:12" ht="15.75" thickBot="1">
      <c r="A235" s="8"/>
      <c r="B235" s="8"/>
      <c r="C235" s="8" t="s">
        <v>10</v>
      </c>
      <c r="D235" s="31">
        <f t="shared" ref="D235:I235" si="37">SUM(D232:D233)</f>
        <v>10209.629999999999</v>
      </c>
      <c r="E235" s="31">
        <f t="shared" si="37"/>
        <v>9.3000000000000007</v>
      </c>
      <c r="F235" s="30">
        <f t="shared" si="37"/>
        <v>0</v>
      </c>
      <c r="G235" s="30">
        <f t="shared" si="37"/>
        <v>0</v>
      </c>
      <c r="H235" s="30">
        <f t="shared" si="37"/>
        <v>0</v>
      </c>
      <c r="I235" s="30">
        <f t="shared" si="37"/>
        <v>0</v>
      </c>
      <c r="J235" s="31">
        <f>SUM(D235:I235)</f>
        <v>10218.929999999998</v>
      </c>
      <c r="K235" s="8"/>
      <c r="L235" s="8"/>
    </row>
    <row r="236" spans="1:12" ht="15.75" thickTop="1">
      <c r="A236" s="8"/>
      <c r="B236" s="8"/>
      <c r="C236" s="8"/>
      <c r="D236" s="20"/>
      <c r="E236" s="20"/>
      <c r="F236" s="15"/>
      <c r="G236" s="15"/>
      <c r="H236" s="15"/>
      <c r="I236" s="15"/>
      <c r="J236" s="20"/>
      <c r="K236" s="8"/>
      <c r="L236" s="8"/>
    </row>
    <row r="237" spans="1:12">
      <c r="A237" s="8"/>
      <c r="B237" s="8"/>
      <c r="C237" s="8"/>
      <c r="D237" s="20"/>
      <c r="E237" s="20"/>
      <c r="F237" s="15"/>
      <c r="G237" s="15"/>
      <c r="H237" s="15"/>
      <c r="I237" s="15"/>
      <c r="J237" s="20"/>
      <c r="K237" s="8"/>
      <c r="L237" s="8"/>
    </row>
    <row r="238" spans="1:12">
      <c r="A238" s="8">
        <v>59</v>
      </c>
      <c r="B238" s="8" t="s">
        <v>54</v>
      </c>
      <c r="C238" s="8" t="s">
        <v>12</v>
      </c>
      <c r="D238" s="20">
        <v>11493.68</v>
      </c>
      <c r="E238" s="20">
        <v>607.87</v>
      </c>
      <c r="F238" s="15"/>
      <c r="G238" s="15"/>
      <c r="H238" s="15"/>
      <c r="I238" s="15"/>
      <c r="J238" s="20">
        <f>SUM(D238:I238)</f>
        <v>12101.550000000001</v>
      </c>
      <c r="K238" s="8"/>
      <c r="L238" s="8"/>
    </row>
    <row r="239" spans="1:12" ht="15.75" thickBot="1">
      <c r="A239" s="8"/>
      <c r="B239" s="8"/>
      <c r="C239" s="8" t="s">
        <v>35</v>
      </c>
      <c r="D239" s="29">
        <v>702.52</v>
      </c>
      <c r="E239" s="29">
        <v>34.15</v>
      </c>
      <c r="F239" s="28"/>
      <c r="G239" s="28"/>
      <c r="H239" s="28"/>
      <c r="I239" s="28"/>
      <c r="J239" s="29">
        <f>SUM(D239:I239)</f>
        <v>736.67</v>
      </c>
      <c r="K239" s="8"/>
      <c r="L239" s="8"/>
    </row>
    <row r="240" spans="1:12">
      <c r="A240" s="8"/>
      <c r="B240" s="8"/>
      <c r="C240" s="8"/>
      <c r="D240" s="20"/>
      <c r="E240" s="20"/>
      <c r="F240" s="15"/>
      <c r="G240" s="15"/>
      <c r="H240" s="15"/>
      <c r="I240" s="15"/>
      <c r="J240" s="20"/>
      <c r="K240" s="8"/>
      <c r="L240" s="8"/>
    </row>
    <row r="241" spans="1:12" ht="15.75" thickBot="1">
      <c r="A241" s="8"/>
      <c r="B241" s="8"/>
      <c r="C241" s="8" t="s">
        <v>10</v>
      </c>
      <c r="D241" s="31">
        <f t="shared" ref="D241:I241" si="38">SUM(D238:D239)</f>
        <v>12196.2</v>
      </c>
      <c r="E241" s="31">
        <f t="shared" si="38"/>
        <v>642.02</v>
      </c>
      <c r="F241" s="30">
        <f t="shared" si="38"/>
        <v>0</v>
      </c>
      <c r="G241" s="30">
        <f t="shared" si="38"/>
        <v>0</v>
      </c>
      <c r="H241" s="30">
        <f t="shared" si="38"/>
        <v>0</v>
      </c>
      <c r="I241" s="30">
        <f t="shared" si="38"/>
        <v>0</v>
      </c>
      <c r="J241" s="31">
        <f>SUM(D241:I241)</f>
        <v>12838.220000000001</v>
      </c>
      <c r="K241" s="8"/>
      <c r="L241" s="8"/>
    </row>
    <row r="242" spans="1:12" ht="15.75" thickTop="1">
      <c r="A242" s="8"/>
      <c r="B242" s="8"/>
      <c r="C242" s="8"/>
      <c r="D242" s="20"/>
      <c r="E242" s="20"/>
      <c r="F242" s="15"/>
      <c r="G242" s="15"/>
      <c r="H242" s="15"/>
      <c r="I242" s="15"/>
      <c r="J242" s="20"/>
      <c r="K242" s="8"/>
      <c r="L242" s="8"/>
    </row>
    <row r="243" spans="1:12">
      <c r="A243" s="8"/>
      <c r="B243" s="8"/>
      <c r="C243" s="8"/>
      <c r="D243" s="20"/>
      <c r="E243" s="20"/>
      <c r="F243" s="15"/>
      <c r="G243" s="15"/>
      <c r="H243" s="15"/>
      <c r="I243" s="15"/>
      <c r="J243" s="20"/>
      <c r="K243" s="8"/>
      <c r="L243" s="8"/>
    </row>
    <row r="244" spans="1:12" ht="15.75" thickBot="1">
      <c r="A244" s="8">
        <v>60</v>
      </c>
      <c r="B244" s="8" t="s">
        <v>55</v>
      </c>
      <c r="C244" s="8" t="s">
        <v>12</v>
      </c>
      <c r="D244" s="29">
        <v>42978.35</v>
      </c>
      <c r="E244" s="29">
        <v>1154.31</v>
      </c>
      <c r="F244" s="28">
        <v>406.33</v>
      </c>
      <c r="G244" s="28">
        <v>139.12</v>
      </c>
      <c r="H244" s="28">
        <v>29.4</v>
      </c>
      <c r="I244" s="28"/>
      <c r="J244" s="29">
        <f>SUM(D244:I244)</f>
        <v>44707.51</v>
      </c>
      <c r="K244" s="8"/>
      <c r="L244" s="8"/>
    </row>
    <row r="245" spans="1:12">
      <c r="A245" s="8"/>
      <c r="B245" s="8"/>
      <c r="C245" s="8"/>
      <c r="D245" s="20"/>
      <c r="E245" s="20"/>
      <c r="F245" s="15"/>
      <c r="G245" s="15"/>
      <c r="H245" s="15"/>
      <c r="I245" s="15"/>
      <c r="J245" s="20"/>
      <c r="K245" s="8"/>
      <c r="L245" s="8"/>
    </row>
    <row r="246" spans="1:12" ht="15.75" thickBot="1">
      <c r="A246" s="8"/>
      <c r="B246" s="8"/>
      <c r="C246" s="8" t="s">
        <v>10</v>
      </c>
      <c r="D246" s="31">
        <f t="shared" ref="D246:I246" si="39">SUM(D244:D245)</f>
        <v>42978.35</v>
      </c>
      <c r="E246" s="31">
        <f t="shared" si="39"/>
        <v>1154.31</v>
      </c>
      <c r="F246" s="30">
        <f t="shared" si="39"/>
        <v>406.33</v>
      </c>
      <c r="G246" s="30">
        <f t="shared" si="39"/>
        <v>139.12</v>
      </c>
      <c r="H246" s="30">
        <f t="shared" si="39"/>
        <v>29.4</v>
      </c>
      <c r="I246" s="30">
        <f t="shared" si="39"/>
        <v>0</v>
      </c>
      <c r="J246" s="31">
        <f>SUM(D246:I246)</f>
        <v>44707.51</v>
      </c>
      <c r="K246" s="8"/>
      <c r="L246" s="8"/>
    </row>
    <row r="247" spans="1:12" ht="15.75" thickTop="1">
      <c r="A247" s="8"/>
      <c r="B247" s="8"/>
      <c r="C247" s="8"/>
      <c r="D247" s="20"/>
      <c r="E247" s="20"/>
      <c r="F247" s="15"/>
      <c r="G247" s="15"/>
      <c r="H247" s="15"/>
      <c r="I247" s="15"/>
      <c r="J247" s="20"/>
      <c r="K247" s="8"/>
      <c r="L247" s="8"/>
    </row>
    <row r="248" spans="1:12">
      <c r="A248" s="8"/>
      <c r="B248" s="8"/>
      <c r="C248" s="8"/>
      <c r="D248" s="20"/>
      <c r="E248" s="20"/>
      <c r="F248" s="15"/>
      <c r="G248" s="15"/>
      <c r="H248" s="15"/>
      <c r="I248" s="15"/>
      <c r="J248" s="20"/>
      <c r="K248" s="8"/>
      <c r="L248" s="8"/>
    </row>
    <row r="249" spans="1:12">
      <c r="A249" s="8">
        <v>61</v>
      </c>
      <c r="B249" s="8" t="s">
        <v>56</v>
      </c>
      <c r="C249" s="8" t="s">
        <v>12</v>
      </c>
      <c r="D249" s="20">
        <v>10244.459999999999</v>
      </c>
      <c r="E249" s="20">
        <v>69.849999999999994</v>
      </c>
      <c r="F249" s="15">
        <v>68.180000000000007</v>
      </c>
      <c r="G249" s="15">
        <v>70.22</v>
      </c>
      <c r="H249" s="15">
        <v>69.989999999999995</v>
      </c>
      <c r="I249" s="15"/>
      <c r="J249" s="20">
        <f>SUM(D249:I249)</f>
        <v>10522.699999999999</v>
      </c>
      <c r="K249" s="8"/>
      <c r="L249" s="8"/>
    </row>
    <row r="250" spans="1:12">
      <c r="A250" s="8"/>
      <c r="B250" s="8"/>
      <c r="C250" s="8" t="s">
        <v>13</v>
      </c>
      <c r="D250" s="20">
        <v>213.04</v>
      </c>
      <c r="E250" s="20">
        <v>1.56</v>
      </c>
      <c r="F250" s="15">
        <v>0.97</v>
      </c>
      <c r="G250" s="15">
        <v>1.41</v>
      </c>
      <c r="H250" s="15">
        <v>1.1599999999999999</v>
      </c>
      <c r="I250" s="15"/>
      <c r="J250" s="20">
        <f>SUM(D250:I250)</f>
        <v>218.14</v>
      </c>
      <c r="K250" s="8"/>
      <c r="L250" s="8"/>
    </row>
    <row r="251" spans="1:12" ht="15.75" thickBot="1">
      <c r="A251" s="8"/>
      <c r="B251" s="8"/>
      <c r="C251" s="8" t="s">
        <v>99</v>
      </c>
      <c r="D251" s="29">
        <v>866.17</v>
      </c>
      <c r="E251" s="29">
        <v>6.24</v>
      </c>
      <c r="F251" s="28">
        <v>5.89</v>
      </c>
      <c r="G251" s="28">
        <v>6.09</v>
      </c>
      <c r="H251" s="28"/>
      <c r="I251" s="28"/>
      <c r="J251" s="29">
        <f>SUM(D251:I251)</f>
        <v>884.39</v>
      </c>
      <c r="K251" s="8"/>
      <c r="L251" s="8"/>
    </row>
    <row r="252" spans="1:12">
      <c r="A252" s="8"/>
      <c r="B252" s="8"/>
      <c r="C252" s="8"/>
      <c r="D252" s="20"/>
      <c r="E252" s="20"/>
      <c r="F252" s="15"/>
      <c r="G252" s="15"/>
      <c r="H252" s="15"/>
      <c r="I252" s="15"/>
      <c r="J252" s="20"/>
      <c r="K252" s="8"/>
      <c r="L252" s="8"/>
    </row>
    <row r="253" spans="1:12" ht="15.75" thickBot="1">
      <c r="A253" s="8"/>
      <c r="B253" s="8"/>
      <c r="C253" s="8" t="s">
        <v>10</v>
      </c>
      <c r="D253" s="31">
        <f t="shared" ref="D253:J253" si="40">SUM(D249:D251)</f>
        <v>11323.67</v>
      </c>
      <c r="E253" s="31">
        <f t="shared" si="40"/>
        <v>77.649999999999991</v>
      </c>
      <c r="F253" s="30">
        <f t="shared" si="40"/>
        <v>75.040000000000006</v>
      </c>
      <c r="G253" s="30">
        <f t="shared" si="40"/>
        <v>77.72</v>
      </c>
      <c r="H253" s="30">
        <f t="shared" si="40"/>
        <v>71.149999999999991</v>
      </c>
      <c r="I253" s="30">
        <f t="shared" si="40"/>
        <v>0</v>
      </c>
      <c r="J253" s="30">
        <f t="shared" si="40"/>
        <v>11625.229999999998</v>
      </c>
      <c r="K253" s="8"/>
      <c r="L253" s="8"/>
    </row>
    <row r="254" spans="1:12" ht="15.75" thickTop="1">
      <c r="A254" s="8"/>
      <c r="B254" s="8"/>
      <c r="C254" s="8"/>
      <c r="D254" s="20"/>
      <c r="E254" s="20"/>
      <c r="F254" s="15"/>
      <c r="G254" s="15"/>
      <c r="H254" s="15"/>
      <c r="I254" s="15"/>
      <c r="J254" s="20"/>
      <c r="K254" s="8"/>
      <c r="L254" s="8"/>
    </row>
    <row r="255" spans="1:12">
      <c r="A255" s="8"/>
      <c r="B255" s="8"/>
      <c r="C255" s="8"/>
      <c r="D255" s="20"/>
      <c r="E255" s="20"/>
      <c r="F255" s="15"/>
      <c r="G255" s="15"/>
      <c r="H255" s="15"/>
      <c r="I255" s="15"/>
      <c r="J255" s="20"/>
      <c r="K255" s="8"/>
      <c r="L255" s="8"/>
    </row>
    <row r="256" spans="1:12">
      <c r="A256" s="8">
        <v>62</v>
      </c>
      <c r="B256" s="8" t="s">
        <v>57</v>
      </c>
      <c r="C256" s="8" t="s">
        <v>12</v>
      </c>
      <c r="D256" s="20">
        <v>4230.3</v>
      </c>
      <c r="E256" s="20"/>
      <c r="F256" s="15"/>
      <c r="G256" s="15"/>
      <c r="H256" s="15"/>
      <c r="I256" s="15"/>
      <c r="J256" s="20">
        <f>SUM(D256:I256)</f>
        <v>4230.3</v>
      </c>
      <c r="K256" s="8"/>
      <c r="L256" s="8"/>
    </row>
    <row r="257" spans="1:12" ht="15.75" thickBot="1">
      <c r="A257" s="8"/>
      <c r="B257" s="8"/>
      <c r="C257" s="8" t="s">
        <v>13</v>
      </c>
      <c r="D257" s="29">
        <v>85.94</v>
      </c>
      <c r="E257" s="29"/>
      <c r="F257" s="28"/>
      <c r="G257" s="28"/>
      <c r="H257" s="28"/>
      <c r="I257" s="28"/>
      <c r="J257" s="29">
        <f>SUM(D257:I257)</f>
        <v>85.94</v>
      </c>
      <c r="K257" s="8"/>
      <c r="L257" s="8"/>
    </row>
    <row r="258" spans="1:12">
      <c r="A258" s="8"/>
      <c r="B258" s="8"/>
      <c r="C258" s="8"/>
      <c r="D258" s="20"/>
      <c r="E258" s="20"/>
      <c r="F258" s="15"/>
      <c r="G258" s="15"/>
      <c r="H258" s="15"/>
      <c r="I258" s="15"/>
      <c r="J258" s="20"/>
      <c r="K258" s="8"/>
      <c r="L258" s="8"/>
    </row>
    <row r="259" spans="1:12" ht="15.75" thickBot="1">
      <c r="A259" s="8"/>
      <c r="B259" s="8"/>
      <c r="C259" s="8" t="s">
        <v>10</v>
      </c>
      <c r="D259" s="31">
        <f t="shared" ref="D259:I259" si="41">SUM(D256:D257)</f>
        <v>4316.24</v>
      </c>
      <c r="E259" s="31">
        <f t="shared" si="41"/>
        <v>0</v>
      </c>
      <c r="F259" s="30">
        <f t="shared" si="41"/>
        <v>0</v>
      </c>
      <c r="G259" s="30">
        <f t="shared" si="41"/>
        <v>0</v>
      </c>
      <c r="H259" s="30">
        <f t="shared" si="41"/>
        <v>0</v>
      </c>
      <c r="I259" s="30">
        <f t="shared" si="41"/>
        <v>0</v>
      </c>
      <c r="J259" s="31">
        <f>SUM(D259:I259)</f>
        <v>4316.24</v>
      </c>
      <c r="K259" s="8"/>
      <c r="L259" s="8"/>
    </row>
    <row r="260" spans="1:12" ht="15.75" thickTop="1">
      <c r="A260" s="8"/>
      <c r="B260" s="8"/>
      <c r="C260" s="8"/>
      <c r="D260" s="20"/>
      <c r="E260" s="20"/>
      <c r="F260" s="15"/>
      <c r="G260" s="15"/>
      <c r="H260" s="15"/>
      <c r="I260" s="15"/>
      <c r="J260" s="20"/>
      <c r="K260" s="8"/>
      <c r="L260" s="8"/>
    </row>
    <row r="261" spans="1:12">
      <c r="A261" s="8"/>
      <c r="B261" s="8"/>
      <c r="C261" s="8"/>
      <c r="D261" s="20"/>
      <c r="E261" s="20"/>
      <c r="F261" s="15"/>
      <c r="G261" s="15"/>
      <c r="H261" s="15"/>
      <c r="I261" s="15"/>
      <c r="J261" s="20"/>
      <c r="K261" s="8"/>
      <c r="L261" s="8"/>
    </row>
    <row r="262" spans="1:12">
      <c r="A262" s="8">
        <v>63</v>
      </c>
      <c r="B262" s="8" t="s">
        <v>58</v>
      </c>
      <c r="C262" s="8" t="s">
        <v>12</v>
      </c>
      <c r="D262" s="20">
        <v>7338.91</v>
      </c>
      <c r="E262" s="20">
        <v>195.87</v>
      </c>
      <c r="F262" s="15">
        <v>42.7</v>
      </c>
      <c r="G262" s="15">
        <v>22.52</v>
      </c>
      <c r="H262" s="15">
        <v>22.11</v>
      </c>
      <c r="I262" s="15"/>
      <c r="J262" s="20">
        <f>SUM(D262:I262)</f>
        <v>7622.11</v>
      </c>
      <c r="K262" s="8"/>
      <c r="L262" s="8"/>
    </row>
    <row r="263" spans="1:12" ht="15.75" thickBot="1">
      <c r="A263" s="8"/>
      <c r="B263" s="8"/>
      <c r="C263" s="8" t="s">
        <v>13</v>
      </c>
      <c r="D263" s="29">
        <v>644.57000000000005</v>
      </c>
      <c r="E263" s="29">
        <v>17.14</v>
      </c>
      <c r="F263" s="28">
        <v>3.69</v>
      </c>
      <c r="G263" s="28">
        <v>2.0699999999999998</v>
      </c>
      <c r="H263" s="28">
        <v>1.9</v>
      </c>
      <c r="I263" s="28"/>
      <c r="J263" s="29">
        <f>SUM(D263:I263)</f>
        <v>669.37000000000012</v>
      </c>
      <c r="K263" s="8"/>
      <c r="L263" s="8"/>
    </row>
    <row r="264" spans="1:12">
      <c r="A264" s="8"/>
      <c r="B264" s="8"/>
      <c r="C264" s="8"/>
      <c r="D264" s="20"/>
      <c r="E264" s="20"/>
      <c r="F264" s="15"/>
      <c r="G264" s="15"/>
      <c r="H264" s="15"/>
      <c r="I264" s="15"/>
      <c r="J264" s="20"/>
      <c r="K264" s="8"/>
      <c r="L264" s="8"/>
    </row>
    <row r="265" spans="1:12" ht="15.75" thickBot="1">
      <c r="A265" s="8"/>
      <c r="B265" s="8"/>
      <c r="C265" s="8" t="s">
        <v>10</v>
      </c>
      <c r="D265" s="31">
        <f t="shared" ref="D265:I265" si="42">SUM(D262:D263)</f>
        <v>7983.48</v>
      </c>
      <c r="E265" s="31">
        <f t="shared" si="42"/>
        <v>213.01</v>
      </c>
      <c r="F265" s="30">
        <f t="shared" si="42"/>
        <v>46.39</v>
      </c>
      <c r="G265" s="30">
        <f t="shared" si="42"/>
        <v>24.59</v>
      </c>
      <c r="H265" s="30">
        <f t="shared" si="42"/>
        <v>24.009999999999998</v>
      </c>
      <c r="I265" s="30">
        <f t="shared" si="42"/>
        <v>0</v>
      </c>
      <c r="J265" s="31">
        <f>SUM(D265:I265)</f>
        <v>8291.48</v>
      </c>
      <c r="K265" s="8"/>
      <c r="L265" s="8"/>
    </row>
    <row r="266" spans="1:12" ht="15.75" thickTop="1">
      <c r="A266" s="8"/>
      <c r="B266" s="8"/>
      <c r="C266" s="8"/>
      <c r="D266" s="20"/>
      <c r="E266" s="20"/>
      <c r="F266" s="15"/>
      <c r="G266" s="15"/>
      <c r="H266" s="15"/>
      <c r="I266" s="15"/>
      <c r="J266" s="20"/>
      <c r="K266" s="8"/>
      <c r="L266" s="8"/>
    </row>
    <row r="267" spans="1:12">
      <c r="A267" s="8"/>
      <c r="B267" s="8"/>
      <c r="C267" s="8"/>
      <c r="D267" s="20"/>
      <c r="E267" s="20"/>
      <c r="F267" s="15"/>
      <c r="G267" s="15"/>
      <c r="H267" s="15"/>
      <c r="I267" s="15"/>
      <c r="J267" s="20"/>
      <c r="K267" s="8"/>
      <c r="L267" s="8"/>
    </row>
    <row r="268" spans="1:12" ht="15.75" thickBot="1">
      <c r="A268" s="8">
        <v>64</v>
      </c>
      <c r="B268" s="8" t="s">
        <v>59</v>
      </c>
      <c r="C268" s="8" t="s">
        <v>12</v>
      </c>
      <c r="D268" s="29">
        <v>92987.37</v>
      </c>
      <c r="E268" s="29">
        <v>3115.23</v>
      </c>
      <c r="F268" s="28">
        <v>739.52</v>
      </c>
      <c r="G268" s="28">
        <v>325.45</v>
      </c>
      <c r="H268" s="28">
        <v>215.32</v>
      </c>
      <c r="I268" s="28"/>
      <c r="J268" s="29">
        <f>SUM(D268:I268)</f>
        <v>97382.89</v>
      </c>
      <c r="K268" s="8"/>
      <c r="L268" s="8"/>
    </row>
    <row r="269" spans="1:12">
      <c r="A269" s="8"/>
      <c r="B269" s="8"/>
      <c r="C269" s="8"/>
      <c r="D269" s="20"/>
      <c r="E269" s="20"/>
      <c r="F269" s="15"/>
      <c r="G269" s="15"/>
      <c r="H269" s="15"/>
      <c r="I269" s="15"/>
      <c r="J269" s="20"/>
      <c r="K269" s="8"/>
      <c r="L269" s="8"/>
    </row>
    <row r="270" spans="1:12" ht="15.75" thickBot="1">
      <c r="A270" s="8"/>
      <c r="B270" s="8"/>
      <c r="C270" s="8" t="s">
        <v>10</v>
      </c>
      <c r="D270" s="31">
        <f t="shared" ref="D270:I270" si="43">SUM(D268:D269)</f>
        <v>92987.37</v>
      </c>
      <c r="E270" s="31">
        <f t="shared" si="43"/>
        <v>3115.23</v>
      </c>
      <c r="F270" s="30">
        <f t="shared" si="43"/>
        <v>739.52</v>
      </c>
      <c r="G270" s="30">
        <f t="shared" si="43"/>
        <v>325.45</v>
      </c>
      <c r="H270" s="30">
        <f t="shared" si="43"/>
        <v>215.32</v>
      </c>
      <c r="I270" s="30">
        <f t="shared" si="43"/>
        <v>0</v>
      </c>
      <c r="J270" s="31">
        <f>SUM(D270:I270)</f>
        <v>97382.89</v>
      </c>
      <c r="K270" s="8"/>
      <c r="L270" s="8"/>
    </row>
    <row r="271" spans="1:12" ht="15.75" thickTop="1">
      <c r="A271" s="8"/>
      <c r="B271" s="8"/>
      <c r="C271" s="8"/>
      <c r="D271" s="20"/>
      <c r="E271" s="20"/>
      <c r="F271" s="15"/>
      <c r="G271" s="15"/>
      <c r="H271" s="15"/>
      <c r="I271" s="15"/>
      <c r="J271" s="20"/>
      <c r="K271" s="8"/>
      <c r="L271" s="8"/>
    </row>
    <row r="272" spans="1:12">
      <c r="A272" s="8"/>
      <c r="B272" s="12"/>
      <c r="C272" s="12"/>
      <c r="D272" s="36"/>
      <c r="E272" s="36"/>
      <c r="F272" s="16"/>
      <c r="G272" s="13"/>
      <c r="H272" s="13"/>
      <c r="I272" s="13"/>
      <c r="J272" s="20"/>
      <c r="K272" s="8"/>
      <c r="L272" s="8"/>
    </row>
    <row r="273" spans="1:12">
      <c r="A273" s="8">
        <v>65</v>
      </c>
      <c r="B273" s="8" t="s">
        <v>60</v>
      </c>
      <c r="C273" s="8" t="s">
        <v>12</v>
      </c>
      <c r="D273" s="20">
        <v>6478.67</v>
      </c>
      <c r="E273" s="20">
        <v>25.86</v>
      </c>
      <c r="F273" s="15">
        <v>3.68</v>
      </c>
      <c r="G273" s="15"/>
      <c r="H273" s="15"/>
      <c r="I273" s="15"/>
      <c r="J273" s="20">
        <f>SUM(D273:I273)</f>
        <v>6508.21</v>
      </c>
      <c r="K273" s="8"/>
      <c r="L273" s="8"/>
    </row>
    <row r="274" spans="1:12" ht="15.75" thickBot="1">
      <c r="A274" s="8"/>
      <c r="B274" s="8"/>
      <c r="C274" s="8" t="s">
        <v>13</v>
      </c>
      <c r="D274" s="29"/>
      <c r="E274" s="29"/>
      <c r="F274" s="28"/>
      <c r="G274" s="28"/>
      <c r="H274" s="28"/>
      <c r="I274" s="28"/>
      <c r="J274" s="29"/>
      <c r="K274" s="8"/>
      <c r="L274" s="8"/>
    </row>
    <row r="275" spans="1:12">
      <c r="A275" s="8"/>
      <c r="B275" s="8"/>
      <c r="C275" s="8"/>
      <c r="D275" s="20"/>
      <c r="E275" s="20"/>
      <c r="F275" s="15"/>
      <c r="G275" s="15"/>
      <c r="H275" s="15"/>
      <c r="I275" s="15"/>
      <c r="J275" s="20"/>
      <c r="K275" s="8"/>
      <c r="L275" s="8"/>
    </row>
    <row r="276" spans="1:12" ht="15.75" thickBot="1">
      <c r="A276" s="8"/>
      <c r="B276" s="8"/>
      <c r="C276" s="8" t="s">
        <v>10</v>
      </c>
      <c r="D276" s="31">
        <f t="shared" ref="D276:I276" si="44">SUM(D273:D274)</f>
        <v>6478.67</v>
      </c>
      <c r="E276" s="31">
        <f t="shared" si="44"/>
        <v>25.86</v>
      </c>
      <c r="F276" s="30">
        <f t="shared" si="44"/>
        <v>3.68</v>
      </c>
      <c r="G276" s="30">
        <f t="shared" si="44"/>
        <v>0</v>
      </c>
      <c r="H276" s="30">
        <f t="shared" si="44"/>
        <v>0</v>
      </c>
      <c r="I276" s="30">
        <f t="shared" si="44"/>
        <v>0</v>
      </c>
      <c r="J276" s="31">
        <f>SUM(D276:I276)</f>
        <v>6508.21</v>
      </c>
      <c r="K276" s="8"/>
      <c r="L276" s="8"/>
    </row>
    <row r="277" spans="1:12" ht="15.75" thickTop="1">
      <c r="A277" s="8"/>
      <c r="B277" s="8"/>
      <c r="C277" s="8"/>
      <c r="D277" s="20"/>
      <c r="E277" s="20"/>
      <c r="F277" s="15"/>
      <c r="G277" s="15"/>
      <c r="H277" s="15"/>
      <c r="I277" s="15"/>
      <c r="J277" s="20"/>
      <c r="K277" s="8"/>
      <c r="L277" s="8"/>
    </row>
    <row r="278" spans="1:12">
      <c r="A278" s="8"/>
      <c r="B278" s="8"/>
      <c r="C278" s="8"/>
      <c r="D278" s="20"/>
      <c r="E278" s="20"/>
      <c r="F278" s="15"/>
      <c r="G278" s="15"/>
      <c r="H278" s="15"/>
      <c r="I278" s="15"/>
      <c r="J278" s="20"/>
      <c r="K278" s="8"/>
      <c r="L278" s="8"/>
    </row>
    <row r="279" spans="1:12">
      <c r="A279" s="8">
        <v>66</v>
      </c>
      <c r="B279" s="8" t="s">
        <v>61</v>
      </c>
      <c r="C279" s="8" t="s">
        <v>12</v>
      </c>
      <c r="D279" s="20">
        <v>9859.2800000000007</v>
      </c>
      <c r="E279" s="20">
        <v>440.84</v>
      </c>
      <c r="F279" s="15">
        <v>384.74</v>
      </c>
      <c r="G279" s="15">
        <v>383.46</v>
      </c>
      <c r="H279" s="15">
        <v>48.35</v>
      </c>
      <c r="I279" s="15"/>
      <c r="J279" s="20">
        <f>SUM(D279:I279)</f>
        <v>11116.67</v>
      </c>
      <c r="K279" s="8"/>
      <c r="L279" s="8"/>
    </row>
    <row r="280" spans="1:12">
      <c r="A280" s="8"/>
      <c r="B280" s="8"/>
      <c r="C280" s="8" t="s">
        <v>13</v>
      </c>
      <c r="D280" s="20"/>
      <c r="E280" s="20"/>
      <c r="F280" s="15"/>
      <c r="G280" s="15"/>
      <c r="H280" s="15"/>
      <c r="I280" s="15"/>
      <c r="J280" s="35">
        <f>SUM(D280:I280)</f>
        <v>0</v>
      </c>
      <c r="K280" s="8"/>
      <c r="L280" s="8"/>
    </row>
    <row r="281" spans="1:12" ht="15.75" thickBot="1">
      <c r="A281" s="8"/>
      <c r="B281" s="8"/>
      <c r="C281" s="8" t="s">
        <v>73</v>
      </c>
      <c r="D281" s="29">
        <v>662.54</v>
      </c>
      <c r="E281" s="29">
        <v>29.74</v>
      </c>
      <c r="F281" s="28">
        <v>26.17</v>
      </c>
      <c r="G281" s="27">
        <v>25.99</v>
      </c>
      <c r="H281" s="27">
        <v>3.29</v>
      </c>
      <c r="I281" s="27"/>
      <c r="J281" s="29">
        <f>SUM(D281:I281)</f>
        <v>747.7299999999999</v>
      </c>
      <c r="K281" s="8"/>
      <c r="L281" s="8"/>
    </row>
    <row r="282" spans="1:12">
      <c r="A282" s="8"/>
      <c r="B282" s="8"/>
      <c r="C282" s="8"/>
      <c r="D282" s="20"/>
      <c r="E282" s="20"/>
      <c r="F282" s="15"/>
      <c r="G282" s="8"/>
      <c r="H282" s="8"/>
      <c r="I282" s="8"/>
      <c r="J282" s="20"/>
      <c r="K282" s="8"/>
      <c r="L282" s="8"/>
    </row>
    <row r="283" spans="1:12" ht="15.75" thickBot="1">
      <c r="A283" s="8"/>
      <c r="B283" s="8"/>
      <c r="C283" s="8" t="s">
        <v>10</v>
      </c>
      <c r="D283" s="31">
        <f t="shared" ref="D283:I283" si="45">SUM(D279:D281)</f>
        <v>10521.82</v>
      </c>
      <c r="E283" s="31">
        <f t="shared" si="45"/>
        <v>470.58</v>
      </c>
      <c r="F283" s="30">
        <f t="shared" si="45"/>
        <v>410.91</v>
      </c>
      <c r="G283" s="30">
        <f t="shared" si="45"/>
        <v>409.45</v>
      </c>
      <c r="H283" s="30">
        <f t="shared" si="45"/>
        <v>51.64</v>
      </c>
      <c r="I283" s="30">
        <f t="shared" si="45"/>
        <v>0</v>
      </c>
      <c r="J283" s="31">
        <f>SUM(D283:I283)</f>
        <v>11864.4</v>
      </c>
      <c r="K283" s="8"/>
      <c r="L283" s="8"/>
    </row>
    <row r="284" spans="1:12" ht="15.75" thickTop="1">
      <c r="A284" s="8"/>
      <c r="B284" s="8"/>
      <c r="C284" s="8"/>
      <c r="D284" s="20"/>
      <c r="E284" s="20"/>
      <c r="F284" s="15"/>
      <c r="G284" s="15"/>
      <c r="H284" s="15"/>
      <c r="I284" s="15"/>
      <c r="J284" s="20"/>
      <c r="K284" s="8"/>
      <c r="L284" s="8"/>
    </row>
    <row r="285" spans="1:12">
      <c r="A285" s="8"/>
      <c r="B285" s="8"/>
      <c r="C285" s="8"/>
      <c r="D285" s="20"/>
      <c r="E285" s="20"/>
      <c r="F285" s="15"/>
      <c r="G285" s="15"/>
      <c r="H285" s="15"/>
      <c r="I285" s="15"/>
      <c r="J285" s="20"/>
      <c r="K285" s="8"/>
      <c r="L285" s="8"/>
    </row>
    <row r="286" spans="1:12">
      <c r="A286" s="8">
        <v>67</v>
      </c>
      <c r="B286" s="8" t="s">
        <v>62</v>
      </c>
      <c r="C286" s="8" t="s">
        <v>12</v>
      </c>
      <c r="D286" s="20">
        <v>8327.7800000000007</v>
      </c>
      <c r="E286" s="20">
        <v>84.83</v>
      </c>
      <c r="F286" s="15">
        <v>0.96</v>
      </c>
      <c r="G286" s="15">
        <v>0.55000000000000004</v>
      </c>
      <c r="H286" s="15">
        <v>0.76</v>
      </c>
      <c r="I286" s="15"/>
      <c r="J286" s="20">
        <f>SUM(D286:I286)</f>
        <v>8414.8799999999992</v>
      </c>
      <c r="K286" s="8"/>
      <c r="L286" s="8"/>
    </row>
    <row r="287" spans="1:12" ht="15.75" thickBot="1">
      <c r="A287" s="8"/>
      <c r="B287" s="8"/>
      <c r="C287" s="8" t="s">
        <v>13</v>
      </c>
      <c r="D287" s="29">
        <v>212.66</v>
      </c>
      <c r="E287" s="29">
        <v>2.5299999999999998</v>
      </c>
      <c r="F287" s="28"/>
      <c r="G287" s="28">
        <v>0.38</v>
      </c>
      <c r="H287" s="28">
        <v>0.17</v>
      </c>
      <c r="I287" s="28"/>
      <c r="J287" s="29">
        <f>SUM(D287:I287)</f>
        <v>215.73999999999998</v>
      </c>
      <c r="K287" s="8"/>
      <c r="L287" s="8"/>
    </row>
    <row r="288" spans="1:12">
      <c r="A288" s="8"/>
      <c r="B288" s="8"/>
      <c r="C288" s="8"/>
      <c r="D288" s="20"/>
      <c r="E288" s="20"/>
      <c r="F288" s="15"/>
      <c r="G288" s="15"/>
      <c r="H288" s="15"/>
      <c r="I288" s="15"/>
      <c r="J288" s="20"/>
      <c r="K288" s="8"/>
      <c r="L288" s="8"/>
    </row>
    <row r="289" spans="1:12" ht="15.75" thickBot="1">
      <c r="A289" s="8"/>
      <c r="B289" s="8"/>
      <c r="C289" s="8" t="s">
        <v>10</v>
      </c>
      <c r="D289" s="31">
        <f t="shared" ref="D289:I289" si="46">SUM(D286:D287)</f>
        <v>8540.44</v>
      </c>
      <c r="E289" s="31">
        <f t="shared" si="46"/>
        <v>87.36</v>
      </c>
      <c r="F289" s="30">
        <f t="shared" si="46"/>
        <v>0.96</v>
      </c>
      <c r="G289" s="30">
        <f t="shared" si="46"/>
        <v>0.93</v>
      </c>
      <c r="H289" s="30">
        <f t="shared" si="46"/>
        <v>0.93</v>
      </c>
      <c r="I289" s="30">
        <f t="shared" si="46"/>
        <v>0</v>
      </c>
      <c r="J289" s="31">
        <f>SUM(D289:I289)</f>
        <v>8630.6200000000008</v>
      </c>
      <c r="K289" s="8"/>
      <c r="L289" s="8"/>
    </row>
    <row r="290" spans="1:12" ht="15.75" thickTop="1">
      <c r="A290" s="8"/>
      <c r="B290" s="8"/>
      <c r="C290" s="8"/>
      <c r="D290" s="20"/>
      <c r="E290" s="20"/>
      <c r="F290" s="15"/>
      <c r="G290" s="15"/>
      <c r="H290" s="15"/>
      <c r="I290" s="15"/>
      <c r="J290" s="20"/>
      <c r="K290" s="8"/>
      <c r="L290" s="8"/>
    </row>
    <row r="291" spans="1:12">
      <c r="A291" s="8"/>
      <c r="B291" s="8"/>
      <c r="C291" s="8"/>
      <c r="D291" s="20"/>
      <c r="E291" s="20"/>
      <c r="F291" s="15"/>
      <c r="G291" s="15"/>
      <c r="H291" s="15"/>
      <c r="I291" s="15"/>
      <c r="J291" s="20"/>
      <c r="K291" s="8"/>
      <c r="L291" s="8"/>
    </row>
    <row r="292" spans="1:12">
      <c r="A292" s="8">
        <v>68</v>
      </c>
      <c r="B292" s="8" t="s">
        <v>63</v>
      </c>
      <c r="C292" s="8" t="s">
        <v>12</v>
      </c>
      <c r="D292" s="20">
        <v>7128.61</v>
      </c>
      <c r="E292" s="20">
        <v>228.68</v>
      </c>
      <c r="F292" s="15">
        <v>139.19</v>
      </c>
      <c r="G292" s="15">
        <v>140.12</v>
      </c>
      <c r="H292" s="15"/>
      <c r="I292" s="15"/>
      <c r="J292" s="20">
        <f>SUM(D292:I292)</f>
        <v>7636.5999999999995</v>
      </c>
      <c r="K292" s="8"/>
      <c r="L292" s="8"/>
    </row>
    <row r="293" spans="1:12" ht="15.75" thickBot="1">
      <c r="A293" s="8"/>
      <c r="B293" s="8"/>
      <c r="C293" s="8" t="s">
        <v>13</v>
      </c>
      <c r="D293" s="29"/>
      <c r="E293" s="29"/>
      <c r="F293" s="28"/>
      <c r="G293" s="28"/>
      <c r="H293" s="28"/>
      <c r="I293" s="28"/>
      <c r="J293" s="29"/>
      <c r="K293" s="8"/>
      <c r="L293" s="8"/>
    </row>
    <row r="294" spans="1:12">
      <c r="A294" s="8"/>
      <c r="B294" s="8"/>
      <c r="C294" s="8"/>
      <c r="D294" s="20"/>
      <c r="E294" s="20"/>
      <c r="F294" s="15"/>
      <c r="G294" s="15"/>
      <c r="H294" s="15"/>
      <c r="I294" s="15"/>
      <c r="J294" s="20"/>
      <c r="K294" s="8"/>
      <c r="L294" s="8"/>
    </row>
    <row r="295" spans="1:12" ht="15.75" thickBot="1">
      <c r="A295" s="8"/>
      <c r="B295" s="8"/>
      <c r="C295" s="8" t="s">
        <v>10</v>
      </c>
      <c r="D295" s="31">
        <f t="shared" ref="D295:I295" si="47">SUM(D292:D293)</f>
        <v>7128.61</v>
      </c>
      <c r="E295" s="31">
        <f t="shared" si="47"/>
        <v>228.68</v>
      </c>
      <c r="F295" s="30">
        <f t="shared" si="47"/>
        <v>139.19</v>
      </c>
      <c r="G295" s="30">
        <f t="shared" si="47"/>
        <v>140.12</v>
      </c>
      <c r="H295" s="30">
        <f t="shared" si="47"/>
        <v>0</v>
      </c>
      <c r="I295" s="30">
        <f t="shared" si="47"/>
        <v>0</v>
      </c>
      <c r="J295" s="31">
        <f>SUM(D295:I295)</f>
        <v>7636.5999999999995</v>
      </c>
      <c r="K295" s="8"/>
      <c r="L295" s="8"/>
    </row>
    <row r="296" spans="1:12" ht="15.75" thickTop="1">
      <c r="A296" s="8"/>
      <c r="B296" s="8"/>
      <c r="C296" s="8"/>
      <c r="D296" s="20"/>
      <c r="E296" s="20"/>
      <c r="F296" s="15"/>
      <c r="G296" s="15"/>
      <c r="H296" s="15"/>
      <c r="I296" s="15"/>
      <c r="J296" s="20"/>
      <c r="K296" s="8"/>
      <c r="L296" s="8"/>
    </row>
    <row r="297" spans="1:12">
      <c r="A297" s="8"/>
      <c r="B297" s="8"/>
      <c r="C297" s="8"/>
      <c r="D297" s="20"/>
      <c r="E297" s="20"/>
      <c r="F297" s="15"/>
      <c r="G297" s="15"/>
      <c r="H297" s="15"/>
      <c r="I297" s="15"/>
      <c r="J297" s="20"/>
      <c r="K297" s="8"/>
      <c r="L297" s="8"/>
    </row>
    <row r="298" spans="1:12">
      <c r="A298" s="8">
        <v>69</v>
      </c>
      <c r="B298" s="8" t="s">
        <v>64</v>
      </c>
      <c r="C298" s="8" t="s">
        <v>12</v>
      </c>
      <c r="D298" s="20">
        <v>7549.33</v>
      </c>
      <c r="E298" s="20">
        <v>255.03</v>
      </c>
      <c r="F298" s="15">
        <v>21.89</v>
      </c>
      <c r="G298" s="15"/>
      <c r="H298" s="15"/>
      <c r="I298" s="15"/>
      <c r="J298" s="20">
        <f>SUM(D298:I298)</f>
        <v>7826.25</v>
      </c>
      <c r="K298" s="8"/>
      <c r="L298" s="8"/>
    </row>
    <row r="299" spans="1:12" ht="15.75" thickBot="1">
      <c r="A299" s="8"/>
      <c r="B299" s="8"/>
      <c r="C299" s="8" t="s">
        <v>13</v>
      </c>
      <c r="D299" s="29"/>
      <c r="E299" s="29"/>
      <c r="F299" s="28"/>
      <c r="G299" s="28"/>
      <c r="H299" s="28"/>
      <c r="I299" s="28"/>
      <c r="J299" s="34">
        <v>0</v>
      </c>
      <c r="K299" s="8"/>
      <c r="L299" s="8"/>
    </row>
    <row r="300" spans="1:12">
      <c r="A300" s="8"/>
      <c r="B300" s="8"/>
      <c r="C300" s="8"/>
      <c r="D300" s="20"/>
      <c r="E300" s="20"/>
      <c r="F300" s="15"/>
      <c r="G300" s="15"/>
      <c r="H300" s="15"/>
      <c r="I300" s="15"/>
      <c r="J300" s="20"/>
      <c r="K300" s="8"/>
      <c r="L300" s="8"/>
    </row>
    <row r="301" spans="1:12" ht="15.75" thickBot="1">
      <c r="A301" s="8"/>
      <c r="B301" s="8"/>
      <c r="C301" s="8" t="s">
        <v>10</v>
      </c>
      <c r="D301" s="31">
        <f t="shared" ref="D301:I301" si="48">SUM(D298:D299)</f>
        <v>7549.33</v>
      </c>
      <c r="E301" s="31">
        <f t="shared" si="48"/>
        <v>255.03</v>
      </c>
      <c r="F301" s="30">
        <f t="shared" si="48"/>
        <v>21.89</v>
      </c>
      <c r="G301" s="30">
        <f t="shared" si="48"/>
        <v>0</v>
      </c>
      <c r="H301" s="30">
        <f t="shared" si="48"/>
        <v>0</v>
      </c>
      <c r="I301" s="30">
        <f t="shared" si="48"/>
        <v>0</v>
      </c>
      <c r="J301" s="31">
        <f>SUM(D301:I301)</f>
        <v>7826.25</v>
      </c>
      <c r="K301" s="8"/>
      <c r="L301" s="8"/>
    </row>
    <row r="302" spans="1:12" ht="15.75" thickTop="1">
      <c r="A302" s="8"/>
      <c r="B302" s="8"/>
      <c r="C302" s="8"/>
      <c r="D302" s="20"/>
      <c r="E302" s="20"/>
      <c r="F302" s="15"/>
      <c r="G302" s="15"/>
      <c r="H302" s="15"/>
      <c r="I302" s="15"/>
      <c r="J302" s="20"/>
      <c r="K302" s="8"/>
      <c r="L302" s="8"/>
    </row>
    <row r="303" spans="1:12">
      <c r="A303" s="8"/>
      <c r="B303" s="8"/>
      <c r="C303" s="8"/>
      <c r="D303" s="20"/>
      <c r="E303" s="20"/>
      <c r="F303" s="15"/>
      <c r="G303" s="15"/>
      <c r="H303" s="15"/>
      <c r="I303" s="15"/>
      <c r="J303" s="20"/>
      <c r="K303" s="8"/>
      <c r="L303" s="8"/>
    </row>
    <row r="304" spans="1:12">
      <c r="A304" s="8">
        <v>70</v>
      </c>
      <c r="B304" s="8" t="s">
        <v>65</v>
      </c>
      <c r="C304" s="8" t="s">
        <v>12</v>
      </c>
      <c r="D304" s="20">
        <v>7546.98</v>
      </c>
      <c r="E304" s="20">
        <v>216.39</v>
      </c>
      <c r="F304" s="15">
        <v>147.11000000000001</v>
      </c>
      <c r="G304" s="15">
        <v>84.81</v>
      </c>
      <c r="H304" s="15"/>
      <c r="I304" s="15"/>
      <c r="J304" s="20">
        <f>SUM(D304:I304)</f>
        <v>7995.29</v>
      </c>
      <c r="K304" s="8"/>
      <c r="L304" s="8"/>
    </row>
    <row r="305" spans="1:12" ht="15.75" thickBot="1">
      <c r="A305" s="8"/>
      <c r="B305" s="8"/>
      <c r="C305" s="8" t="s">
        <v>78</v>
      </c>
      <c r="D305" s="29"/>
      <c r="E305" s="29"/>
      <c r="F305" s="28"/>
      <c r="G305" s="28"/>
      <c r="H305" s="28"/>
      <c r="I305" s="28"/>
      <c r="J305" s="29">
        <f>SUM(D305:I305)</f>
        <v>0</v>
      </c>
      <c r="K305" s="8"/>
      <c r="L305" s="8"/>
    </row>
    <row r="306" spans="1:12">
      <c r="A306" s="8"/>
      <c r="B306" s="8"/>
      <c r="C306" s="8"/>
      <c r="D306" s="20"/>
      <c r="E306" s="20"/>
      <c r="F306" s="15"/>
      <c r="G306" s="15"/>
      <c r="H306" s="15"/>
      <c r="I306" s="15"/>
      <c r="J306" s="20"/>
      <c r="K306" s="8"/>
      <c r="L306" s="8"/>
    </row>
    <row r="307" spans="1:12" ht="15.75" thickBot="1">
      <c r="A307" s="8"/>
      <c r="B307" s="8"/>
      <c r="C307" s="8" t="s">
        <v>10</v>
      </c>
      <c r="D307" s="31">
        <f t="shared" ref="D307:I307" si="49">SUM(D304:D306)</f>
        <v>7546.98</v>
      </c>
      <c r="E307" s="31">
        <f t="shared" si="49"/>
        <v>216.39</v>
      </c>
      <c r="F307" s="30">
        <f t="shared" si="49"/>
        <v>147.11000000000001</v>
      </c>
      <c r="G307" s="30">
        <f t="shared" si="49"/>
        <v>84.81</v>
      </c>
      <c r="H307" s="30">
        <f t="shared" si="49"/>
        <v>0</v>
      </c>
      <c r="I307" s="30">
        <f t="shared" si="49"/>
        <v>0</v>
      </c>
      <c r="J307" s="31">
        <f>SUM(D307:I307)</f>
        <v>7995.29</v>
      </c>
      <c r="K307" s="8"/>
      <c r="L307" s="8"/>
    </row>
    <row r="308" spans="1:12" ht="15.75" thickTop="1">
      <c r="A308" s="8"/>
      <c r="B308" s="8"/>
      <c r="C308" s="8"/>
      <c r="D308" s="20"/>
      <c r="E308" s="20"/>
      <c r="F308" s="15"/>
      <c r="G308" s="15"/>
      <c r="H308" s="15"/>
      <c r="I308" s="15"/>
      <c r="J308" s="20"/>
      <c r="K308" s="8"/>
      <c r="L308" s="8"/>
    </row>
    <row r="309" spans="1:12">
      <c r="A309" s="8"/>
      <c r="B309" s="8"/>
      <c r="C309" s="8" t="s">
        <v>66</v>
      </c>
      <c r="D309" s="20">
        <f t="shared" ref="D309:I309" si="50">SUM(D9:D307)/2</f>
        <v>559162.42000000016</v>
      </c>
      <c r="E309" s="20">
        <f t="shared" si="50"/>
        <v>15811.320000000002</v>
      </c>
      <c r="F309" s="15">
        <f t="shared" si="50"/>
        <v>6303.8900000000012</v>
      </c>
      <c r="G309" s="15">
        <f t="shared" si="50"/>
        <v>4149.130000000001</v>
      </c>
      <c r="H309" s="15">
        <f t="shared" si="50"/>
        <v>1377.8000000000006</v>
      </c>
      <c r="I309" s="15">
        <f t="shared" si="50"/>
        <v>1.8800000000000001</v>
      </c>
      <c r="J309" s="20">
        <f>SUM(D309:I309)</f>
        <v>586806.44000000018</v>
      </c>
      <c r="K309" s="8"/>
      <c r="L309" s="8"/>
    </row>
    <row r="310" spans="1:12">
      <c r="A310" s="8"/>
      <c r="B310" s="8"/>
      <c r="C310" s="8"/>
      <c r="D310" s="20"/>
      <c r="E310" s="20"/>
      <c r="F310" s="15"/>
      <c r="G310" s="8"/>
      <c r="H310" s="8"/>
      <c r="I310" s="8"/>
      <c r="J310" s="20"/>
      <c r="K310" s="8"/>
      <c r="L310" s="8"/>
    </row>
    <row r="311" spans="1:12">
      <c r="A311" s="8"/>
      <c r="B311" s="8"/>
      <c r="C311" s="8"/>
      <c r="D311" s="20"/>
      <c r="E311" s="20"/>
      <c r="F311" s="8"/>
      <c r="G311" s="8"/>
      <c r="H311" s="8"/>
      <c r="I311" s="8"/>
      <c r="J311" s="20"/>
      <c r="K311" s="8"/>
      <c r="L311" s="8"/>
    </row>
  </sheetData>
  <phoneticPr fontId="0" type="noConversion"/>
  <pageMargins left="0.25" right="0.25" top="0.25" bottom="0.25" header="0.5" footer="0.5"/>
  <pageSetup scale="70" fitToHeight="50" orientation="landscape" r:id="rId1"/>
  <headerFooter alignWithMargins="0"/>
  <rowBreaks count="51" manualBreakCount="51">
    <brk id="7" max="65535" man="1"/>
    <brk id="13" max="9" man="1"/>
    <brk id="18" max="65535" man="1"/>
    <brk id="24" max="65535" man="1"/>
    <brk id="30" max="65535" man="1"/>
    <brk id="36" max="65535" man="1"/>
    <brk id="43" max="65535" man="1"/>
    <brk id="49" max="65535" man="1"/>
    <brk id="56" max="65535" man="1"/>
    <brk id="62" max="65535" man="1"/>
    <brk id="68" max="65535" man="1"/>
    <brk id="75" max="65535" man="1"/>
    <brk id="82" max="65535" man="1"/>
    <brk id="89" max="65535" man="1"/>
    <brk id="94" max="65535" man="1"/>
    <brk id="100" max="65535" man="1"/>
    <brk id="105" max="65535" man="1"/>
    <brk id="111" max="65535" man="1"/>
    <brk id="118" max="65535" man="1"/>
    <brk id="123" max="9" man="1"/>
    <brk id="128" max="65535" man="1"/>
    <brk id="134" max="65535" man="1"/>
    <brk id="141" max="65535" man="1"/>
    <brk id="148" max="9" man="1"/>
    <brk id="154" max="9" man="1"/>
    <brk id="158" max="9" man="1"/>
    <brk id="163" max="65535" man="1"/>
    <brk id="168" max="65535" man="1"/>
    <brk id="173" max="65535" man="1"/>
    <brk id="179" max="65535" man="1"/>
    <brk id="186" max="65535" man="1"/>
    <brk id="192" max="65535" man="1"/>
    <brk id="198" max="65535" man="1"/>
    <brk id="206" max="16383" man="1"/>
    <brk id="212" max="16383" man="1"/>
    <brk id="218" max="16383" man="1"/>
    <brk id="224" max="16383" man="1"/>
    <brk id="230" max="16383" man="1"/>
    <brk id="236" max="16383" man="1"/>
    <brk id="242" max="16383" man="1"/>
    <brk id="247" max="16383" man="1"/>
    <brk id="254" max="16383" man="1"/>
    <brk id="260" max="16383" man="1"/>
    <brk id="266" max="16383" man="1"/>
    <brk id="271" max="16383" man="1"/>
    <brk id="277" max="16383" man="1"/>
    <brk id="284" max="16383" man="1"/>
    <brk id="290" max="16383" man="1"/>
    <brk id="296" max="16383" man="1"/>
    <brk id="301" max="16383" man="1"/>
    <brk id="30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A1:L315"/>
  <sheetViews>
    <sheetView showOutlineSymbols="0" defaultGridColor="0" view="pageBreakPreview" colorId="23" zoomScale="60" zoomScaleNormal="75" workbookViewId="0">
      <selection activeCell="C239" sqref="C239"/>
    </sheetView>
  </sheetViews>
  <sheetFormatPr defaultColWidth="9.6640625" defaultRowHeight="15"/>
  <cols>
    <col min="1" max="1" width="9.6640625" style="10" customWidth="1"/>
    <col min="2" max="2" width="27.44140625" style="10" bestFit="1" customWidth="1"/>
    <col min="3" max="3" width="24.44140625" style="10" bestFit="1" customWidth="1"/>
    <col min="4" max="5" width="12.77734375" style="23" customWidth="1"/>
    <col min="6" max="6" width="12.6640625" style="10" customWidth="1"/>
    <col min="7" max="8" width="11.6640625" style="10" customWidth="1"/>
    <col min="9" max="9" width="9.6640625" style="10" customWidth="1"/>
    <col min="10" max="10" width="14.44140625" style="23" customWidth="1"/>
    <col min="11" max="16384" width="9.6640625" style="10"/>
  </cols>
  <sheetData>
    <row r="1" spans="1:12">
      <c r="A1" s="8"/>
      <c r="B1" s="8"/>
      <c r="C1" s="8"/>
      <c r="D1" s="20"/>
      <c r="E1" s="20"/>
      <c r="F1" s="8"/>
      <c r="G1" s="8"/>
      <c r="H1" s="8"/>
      <c r="I1" s="9"/>
      <c r="J1" s="20"/>
      <c r="K1" s="8"/>
      <c r="L1" s="8"/>
    </row>
    <row r="2" spans="1:12">
      <c r="A2" s="8"/>
      <c r="B2" s="8"/>
      <c r="C2" s="8"/>
      <c r="D2" s="20"/>
      <c r="E2" s="20"/>
      <c r="F2" s="8"/>
      <c r="G2" s="8"/>
      <c r="H2" s="8"/>
      <c r="I2" s="8"/>
      <c r="J2" s="20"/>
      <c r="K2" s="8"/>
      <c r="L2" s="8"/>
    </row>
    <row r="3" spans="1:12">
      <c r="A3" s="8"/>
      <c r="B3" s="8" t="s">
        <v>103</v>
      </c>
      <c r="C3" s="8"/>
      <c r="D3" s="20"/>
      <c r="E3" s="20"/>
      <c r="F3" s="8"/>
      <c r="G3" s="8"/>
      <c r="H3" s="8"/>
      <c r="I3" s="8"/>
      <c r="J3" s="20"/>
      <c r="K3" s="8"/>
      <c r="L3" s="8"/>
    </row>
    <row r="4" spans="1:12" ht="15.75">
      <c r="A4" s="8"/>
      <c r="B4" s="11" t="s">
        <v>1</v>
      </c>
      <c r="C4" s="9"/>
      <c r="D4" s="21"/>
      <c r="E4" s="21"/>
      <c r="F4" s="9"/>
      <c r="G4" s="9"/>
      <c r="H4" s="9"/>
      <c r="I4" s="9"/>
      <c r="J4" s="21"/>
      <c r="K4" s="8"/>
      <c r="L4" s="8"/>
    </row>
    <row r="5" spans="1:12" ht="15.75">
      <c r="A5" s="8"/>
      <c r="B5" s="11" t="s">
        <v>105</v>
      </c>
      <c r="C5" s="9"/>
      <c r="D5" s="21"/>
      <c r="E5" s="21"/>
      <c r="F5" s="9"/>
      <c r="G5" s="9"/>
      <c r="H5" s="9"/>
      <c r="I5" s="9"/>
      <c r="J5" s="21"/>
      <c r="K5" s="8"/>
      <c r="L5" s="8"/>
    </row>
    <row r="6" spans="1:12">
      <c r="A6" s="8"/>
      <c r="B6" s="8"/>
      <c r="C6" s="8"/>
      <c r="D6" s="20"/>
      <c r="E6" s="20"/>
      <c r="F6" s="8"/>
      <c r="G6" s="8"/>
      <c r="H6" s="8"/>
      <c r="I6" s="8"/>
      <c r="J6" s="20"/>
      <c r="K6" s="8"/>
      <c r="L6" s="8"/>
    </row>
    <row r="7" spans="1:12">
      <c r="A7" s="8"/>
      <c r="B7" s="12" t="s">
        <v>3</v>
      </c>
      <c r="C7" s="12" t="s">
        <v>4</v>
      </c>
      <c r="D7" s="37">
        <v>2006</v>
      </c>
      <c r="E7" s="37">
        <v>2005</v>
      </c>
      <c r="F7" s="13">
        <v>2004</v>
      </c>
      <c r="G7" s="13">
        <v>2003</v>
      </c>
      <c r="H7" s="13">
        <v>2002</v>
      </c>
      <c r="I7" s="14">
        <v>2001</v>
      </c>
      <c r="J7" s="22" t="s">
        <v>10</v>
      </c>
      <c r="K7" s="8"/>
      <c r="L7" s="8"/>
    </row>
    <row r="8" spans="1:12">
      <c r="A8" s="8"/>
      <c r="B8" s="8"/>
      <c r="C8" s="8"/>
      <c r="D8" s="20"/>
      <c r="E8" s="20"/>
      <c r="F8" s="8"/>
      <c r="G8" s="8"/>
      <c r="H8" s="8"/>
      <c r="I8" s="8"/>
      <c r="J8" s="20"/>
      <c r="K8" s="8"/>
      <c r="L8" s="8"/>
    </row>
    <row r="9" spans="1:12">
      <c r="A9" s="8">
        <v>21</v>
      </c>
      <c r="B9" s="8" t="s">
        <v>11</v>
      </c>
      <c r="C9" s="8" t="s">
        <v>12</v>
      </c>
      <c r="D9" s="20">
        <v>11449.29</v>
      </c>
      <c r="E9" s="20">
        <v>3.41</v>
      </c>
      <c r="F9" s="15">
        <v>3.66</v>
      </c>
      <c r="G9" s="15">
        <v>3.56</v>
      </c>
      <c r="H9" s="15">
        <v>3.4</v>
      </c>
      <c r="I9" s="15"/>
      <c r="J9" s="20">
        <f>SUM(D9:I9)</f>
        <v>11463.32</v>
      </c>
      <c r="K9" s="8"/>
      <c r="L9" s="8"/>
    </row>
    <row r="10" spans="1:12" ht="15.75" thickBot="1">
      <c r="A10" s="8"/>
      <c r="B10" s="8"/>
      <c r="C10" s="8" t="s">
        <v>13</v>
      </c>
      <c r="D10" s="29">
        <v>203.49</v>
      </c>
      <c r="E10" s="29">
        <v>0.09</v>
      </c>
      <c r="F10" s="28">
        <v>0.06</v>
      </c>
      <c r="G10" s="28">
        <v>0.09</v>
      </c>
      <c r="H10" s="28">
        <v>0.08</v>
      </c>
      <c r="I10" s="28"/>
      <c r="J10" s="29">
        <f>SUM(D10:I10)</f>
        <v>203.81000000000003</v>
      </c>
      <c r="K10" s="8"/>
      <c r="L10" s="8"/>
    </row>
    <row r="11" spans="1:12">
      <c r="A11" s="8"/>
      <c r="B11" s="8"/>
      <c r="C11" s="8"/>
      <c r="D11" s="20"/>
      <c r="E11" s="20"/>
      <c r="F11" s="15"/>
      <c r="G11" s="15"/>
      <c r="H11" s="15"/>
      <c r="I11" s="15"/>
      <c r="J11" s="20"/>
      <c r="K11" s="8"/>
      <c r="L11" s="8"/>
    </row>
    <row r="12" spans="1:12" ht="15.75" thickBot="1">
      <c r="A12" s="8"/>
      <c r="B12" s="8"/>
      <c r="C12" s="8" t="s">
        <v>10</v>
      </c>
      <c r="D12" s="31">
        <f t="shared" ref="D12:I12" si="0">SUM(D9:D10)</f>
        <v>11652.78</v>
      </c>
      <c r="E12" s="31">
        <f t="shared" si="0"/>
        <v>3.5</v>
      </c>
      <c r="F12" s="30">
        <f t="shared" si="0"/>
        <v>3.72</v>
      </c>
      <c r="G12" s="30">
        <f t="shared" si="0"/>
        <v>3.65</v>
      </c>
      <c r="H12" s="30">
        <f t="shared" si="0"/>
        <v>3.48</v>
      </c>
      <c r="I12" s="30">
        <f t="shared" si="0"/>
        <v>0</v>
      </c>
      <c r="J12" s="31">
        <f>SUM(D12:I12)</f>
        <v>11667.13</v>
      </c>
      <c r="K12" s="8"/>
      <c r="L12" s="8"/>
    </row>
    <row r="13" spans="1:12" ht="15.75" thickTop="1">
      <c r="A13" s="8"/>
      <c r="B13" s="8"/>
      <c r="C13" s="8"/>
      <c r="D13" s="20"/>
      <c r="E13" s="20"/>
      <c r="F13" s="15"/>
      <c r="G13" s="8"/>
      <c r="H13" s="8"/>
      <c r="I13" s="8"/>
      <c r="J13" s="20"/>
      <c r="K13" s="8"/>
      <c r="L13" s="8"/>
    </row>
    <row r="14" spans="1:12">
      <c r="A14" s="8"/>
      <c r="B14" s="8"/>
      <c r="C14" s="8"/>
      <c r="D14" s="20"/>
      <c r="E14" s="20"/>
      <c r="F14" s="15"/>
      <c r="G14" s="8"/>
      <c r="H14" s="8"/>
      <c r="I14" s="8"/>
      <c r="J14" s="20"/>
      <c r="K14" s="8"/>
      <c r="L14" s="8"/>
    </row>
    <row r="15" spans="1:12">
      <c r="A15" s="8">
        <v>22</v>
      </c>
      <c r="B15" s="8" t="s">
        <v>15</v>
      </c>
      <c r="C15" s="8" t="s">
        <v>12</v>
      </c>
      <c r="D15" s="20">
        <v>10765.56</v>
      </c>
      <c r="E15" s="20">
        <v>343.37</v>
      </c>
      <c r="F15" s="15">
        <v>127.72</v>
      </c>
      <c r="G15" s="15">
        <v>30.37</v>
      </c>
      <c r="H15" s="15">
        <v>18.190000000000001</v>
      </c>
      <c r="I15" s="15"/>
      <c r="J15" s="20">
        <f>SUM(D15:I15)</f>
        <v>11285.210000000001</v>
      </c>
      <c r="K15" s="8"/>
      <c r="L15" s="8"/>
    </row>
    <row r="16" spans="1:12" ht="15.75" thickBot="1">
      <c r="A16" s="8"/>
      <c r="B16" s="8"/>
      <c r="C16" s="8" t="s">
        <v>13</v>
      </c>
      <c r="D16" s="29">
        <v>449.74</v>
      </c>
      <c r="E16" s="29">
        <v>10.32</v>
      </c>
      <c r="F16" s="28">
        <v>7.08</v>
      </c>
      <c r="G16" s="28">
        <v>1.68</v>
      </c>
      <c r="H16" s="28">
        <v>1.65</v>
      </c>
      <c r="I16" s="28"/>
      <c r="J16" s="29">
        <f>SUM(D16:I16)</f>
        <v>470.46999999999997</v>
      </c>
      <c r="K16" s="8"/>
      <c r="L16" s="8"/>
    </row>
    <row r="17" spans="1:12">
      <c r="A17" s="8"/>
      <c r="B17" s="8"/>
      <c r="C17" s="8"/>
      <c r="D17" s="20"/>
      <c r="E17" s="20"/>
      <c r="F17" s="15"/>
      <c r="G17" s="15"/>
      <c r="H17" s="15"/>
      <c r="I17" s="15"/>
      <c r="J17" s="20"/>
      <c r="K17" s="8"/>
      <c r="L17" s="8"/>
    </row>
    <row r="18" spans="1:12" ht="15.75" thickBot="1">
      <c r="A18" s="8"/>
      <c r="B18" s="8"/>
      <c r="C18" s="8" t="s">
        <v>10</v>
      </c>
      <c r="D18" s="31">
        <f t="shared" ref="D18:I18" si="1">SUM(D15:D16)</f>
        <v>11215.3</v>
      </c>
      <c r="E18" s="31">
        <f t="shared" si="1"/>
        <v>353.69</v>
      </c>
      <c r="F18" s="30">
        <f t="shared" si="1"/>
        <v>134.80000000000001</v>
      </c>
      <c r="G18" s="30">
        <f t="shared" si="1"/>
        <v>32.050000000000004</v>
      </c>
      <c r="H18" s="30">
        <f t="shared" si="1"/>
        <v>19.84</v>
      </c>
      <c r="I18" s="30">
        <f t="shared" si="1"/>
        <v>0</v>
      </c>
      <c r="J18" s="31">
        <f>SUM(D18:I18)</f>
        <v>11755.679999999998</v>
      </c>
      <c r="K18" s="8"/>
      <c r="L18" s="8"/>
    </row>
    <row r="19" spans="1:12" ht="15.75" thickTop="1">
      <c r="A19" s="8"/>
      <c r="B19" s="8"/>
      <c r="C19" s="8"/>
      <c r="D19" s="20"/>
      <c r="E19" s="20"/>
      <c r="F19" s="15"/>
      <c r="G19" s="15"/>
      <c r="H19" s="15"/>
      <c r="I19" s="15"/>
      <c r="J19" s="20"/>
      <c r="K19" s="8"/>
      <c r="L19" s="8"/>
    </row>
    <row r="20" spans="1:12">
      <c r="A20" s="8"/>
      <c r="B20" s="8"/>
      <c r="C20" s="8"/>
      <c r="D20" s="20"/>
      <c r="E20" s="20"/>
      <c r="F20" s="15"/>
      <c r="G20" s="15"/>
      <c r="H20" s="15"/>
      <c r="I20" s="15"/>
      <c r="J20" s="20"/>
      <c r="K20" s="8"/>
      <c r="L20" s="8"/>
    </row>
    <row r="21" spans="1:12">
      <c r="A21" s="8">
        <v>23</v>
      </c>
      <c r="B21" s="8" t="s">
        <v>16</v>
      </c>
      <c r="C21" s="8" t="s">
        <v>12</v>
      </c>
      <c r="D21" s="20">
        <v>9921.56</v>
      </c>
      <c r="E21" s="20">
        <v>394.72</v>
      </c>
      <c r="F21" s="15">
        <v>381.36</v>
      </c>
      <c r="G21" s="15">
        <v>381.54</v>
      </c>
      <c r="H21" s="15">
        <v>367.15</v>
      </c>
      <c r="I21" s="15"/>
      <c r="J21" s="20">
        <f>SUM(D21:I21)</f>
        <v>11446.33</v>
      </c>
      <c r="K21" s="8"/>
      <c r="L21" s="8"/>
    </row>
    <row r="22" spans="1:12" ht="15.75" thickBot="1">
      <c r="A22" s="8"/>
      <c r="B22" s="8"/>
      <c r="C22" s="8" t="s">
        <v>13</v>
      </c>
      <c r="D22" s="29"/>
      <c r="E22" s="29"/>
      <c r="F22" s="28"/>
      <c r="G22" s="28"/>
      <c r="H22" s="28"/>
      <c r="I22" s="28"/>
      <c r="J22" s="29">
        <f>SUM(D22:I22)</f>
        <v>0</v>
      </c>
      <c r="K22" s="8"/>
      <c r="L22" s="8"/>
    </row>
    <row r="23" spans="1:12">
      <c r="A23" s="8"/>
      <c r="B23" s="8"/>
      <c r="C23" s="8"/>
      <c r="D23" s="20"/>
      <c r="E23" s="20"/>
      <c r="F23" s="15"/>
      <c r="G23" s="15"/>
      <c r="H23" s="15"/>
      <c r="I23" s="15"/>
      <c r="J23" s="20"/>
      <c r="K23" s="8"/>
      <c r="L23" s="8"/>
    </row>
    <row r="24" spans="1:12" ht="15.75" thickBot="1">
      <c r="A24" s="8"/>
      <c r="B24" s="8"/>
      <c r="C24" s="8" t="s">
        <v>10</v>
      </c>
      <c r="D24" s="31">
        <f t="shared" ref="D24:I24" si="2">SUM(D21:D22)</f>
        <v>9921.56</v>
      </c>
      <c r="E24" s="31">
        <f t="shared" si="2"/>
        <v>394.72</v>
      </c>
      <c r="F24" s="30">
        <f t="shared" si="2"/>
        <v>381.36</v>
      </c>
      <c r="G24" s="30">
        <f t="shared" si="2"/>
        <v>381.54</v>
      </c>
      <c r="H24" s="30">
        <f t="shared" si="2"/>
        <v>367.15</v>
      </c>
      <c r="I24" s="30">
        <f t="shared" si="2"/>
        <v>0</v>
      </c>
      <c r="J24" s="31">
        <f>SUM(D24:I24)</f>
        <v>11446.33</v>
      </c>
      <c r="K24" s="8"/>
      <c r="L24" s="8"/>
    </row>
    <row r="25" spans="1:12" ht="15.75" thickTop="1">
      <c r="A25" s="8"/>
      <c r="B25" s="8"/>
      <c r="C25" s="8"/>
      <c r="D25" s="20"/>
      <c r="E25" s="20"/>
      <c r="F25" s="15"/>
      <c r="G25" s="15"/>
      <c r="H25" s="15"/>
      <c r="I25" s="15"/>
      <c r="J25" s="20"/>
      <c r="K25" s="8"/>
      <c r="L25" s="8"/>
    </row>
    <row r="26" spans="1:12">
      <c r="A26" s="8"/>
      <c r="B26" s="8"/>
      <c r="C26" s="8"/>
      <c r="D26" s="20"/>
      <c r="E26" s="20"/>
      <c r="F26" s="15"/>
      <c r="G26" s="8"/>
      <c r="H26" s="8"/>
      <c r="I26" s="8"/>
      <c r="J26" s="20"/>
      <c r="K26" s="8"/>
      <c r="L26" s="8"/>
    </row>
    <row r="27" spans="1:12">
      <c r="A27" s="8"/>
      <c r="B27" s="8"/>
      <c r="C27" s="8"/>
      <c r="D27" s="20"/>
      <c r="E27" s="20"/>
      <c r="F27" s="15"/>
      <c r="G27" s="15"/>
      <c r="H27" s="15"/>
      <c r="I27" s="15"/>
      <c r="J27" s="20"/>
      <c r="K27" s="8"/>
      <c r="L27" s="8"/>
    </row>
    <row r="28" spans="1:12" ht="15.75" thickBot="1">
      <c r="A28" s="8">
        <v>24</v>
      </c>
      <c r="B28" s="8" t="s">
        <v>17</v>
      </c>
      <c r="C28" s="8" t="s">
        <v>12</v>
      </c>
      <c r="D28" s="29">
        <v>6650.89</v>
      </c>
      <c r="E28" s="29">
        <v>49.01</v>
      </c>
      <c r="F28" s="28"/>
      <c r="G28" s="28"/>
      <c r="H28" s="28"/>
      <c r="I28" s="28"/>
      <c r="J28" s="29">
        <f>SUM(D28:I28)</f>
        <v>6699.9000000000005</v>
      </c>
      <c r="K28" s="8"/>
      <c r="L28" s="8"/>
    </row>
    <row r="29" spans="1:12">
      <c r="A29" s="8"/>
      <c r="B29" s="8"/>
      <c r="C29" s="8"/>
      <c r="D29" s="20"/>
      <c r="E29" s="20"/>
      <c r="F29" s="15"/>
      <c r="G29" s="15"/>
      <c r="H29" s="15"/>
      <c r="I29" s="15"/>
      <c r="J29" s="20"/>
      <c r="K29" s="8"/>
      <c r="L29" s="8"/>
    </row>
    <row r="30" spans="1:12" ht="15.75" thickBot="1">
      <c r="A30" s="8"/>
      <c r="B30" s="8"/>
      <c r="C30" s="8" t="s">
        <v>10</v>
      </c>
      <c r="D30" s="31">
        <f t="shared" ref="D30:I30" si="3">SUM(D28:D29)</f>
        <v>6650.89</v>
      </c>
      <c r="E30" s="31">
        <f t="shared" si="3"/>
        <v>49.01</v>
      </c>
      <c r="F30" s="30">
        <f t="shared" si="3"/>
        <v>0</v>
      </c>
      <c r="G30" s="30">
        <f t="shared" si="3"/>
        <v>0</v>
      </c>
      <c r="H30" s="30">
        <f t="shared" si="3"/>
        <v>0</v>
      </c>
      <c r="I30" s="30">
        <f t="shared" si="3"/>
        <v>0</v>
      </c>
      <c r="J30" s="31">
        <f>SUM(D30:I30)</f>
        <v>6699.9000000000005</v>
      </c>
      <c r="K30" s="8"/>
      <c r="L30" s="8"/>
    </row>
    <row r="31" spans="1:12" ht="15.75" thickTop="1">
      <c r="A31" s="8"/>
      <c r="B31" s="8"/>
      <c r="C31" s="8"/>
      <c r="D31" s="20"/>
      <c r="E31" s="20"/>
      <c r="F31" s="15"/>
      <c r="G31" s="15"/>
      <c r="H31" s="15"/>
      <c r="I31" s="15"/>
      <c r="J31" s="20"/>
      <c r="K31" s="8"/>
      <c r="L31" s="8"/>
    </row>
    <row r="32" spans="1:12">
      <c r="A32" s="8"/>
      <c r="B32" s="8"/>
      <c r="C32" s="8"/>
      <c r="D32" s="20"/>
      <c r="E32" s="20"/>
      <c r="F32" s="15"/>
      <c r="G32" s="8"/>
      <c r="H32" s="8"/>
      <c r="I32" s="8"/>
      <c r="J32" s="20"/>
      <c r="K32" s="8"/>
      <c r="L32" s="8"/>
    </row>
    <row r="33" spans="1:12">
      <c r="A33" s="8"/>
      <c r="B33" s="8"/>
      <c r="C33" s="8"/>
      <c r="D33" s="20"/>
      <c r="E33" s="20"/>
      <c r="F33" s="15"/>
      <c r="G33" s="15"/>
      <c r="H33" s="15"/>
      <c r="I33" s="15"/>
      <c r="J33" s="20"/>
      <c r="K33" s="8"/>
      <c r="L33" s="8"/>
    </row>
    <row r="34" spans="1:12" ht="15.75" thickBot="1">
      <c r="A34" s="8">
        <v>25</v>
      </c>
      <c r="B34" s="8" t="s">
        <v>18</v>
      </c>
      <c r="C34" s="8" t="s">
        <v>12</v>
      </c>
      <c r="D34" s="29">
        <v>15314.43</v>
      </c>
      <c r="E34" s="29">
        <v>106.97</v>
      </c>
      <c r="F34" s="28">
        <v>82.5</v>
      </c>
      <c r="G34" s="28"/>
      <c r="H34" s="28"/>
      <c r="I34" s="28"/>
      <c r="J34" s="29">
        <f>SUM(D34:I34)</f>
        <v>15503.9</v>
      </c>
      <c r="K34" s="8"/>
      <c r="L34" s="8"/>
    </row>
    <row r="35" spans="1:12">
      <c r="A35" s="8"/>
      <c r="B35" s="8"/>
      <c r="C35" s="8"/>
      <c r="D35" s="20"/>
      <c r="E35" s="20"/>
      <c r="F35" s="15"/>
      <c r="G35" s="15"/>
      <c r="H35" s="15"/>
      <c r="I35" s="15"/>
      <c r="J35" s="20"/>
      <c r="K35" s="8"/>
      <c r="L35" s="8"/>
    </row>
    <row r="36" spans="1:12" ht="15.75" thickBot="1">
      <c r="A36" s="8"/>
      <c r="B36" s="8"/>
      <c r="C36" s="8" t="s">
        <v>10</v>
      </c>
      <c r="D36" s="31">
        <f t="shared" ref="D36:I36" si="4">SUM(D34:D35)</f>
        <v>15314.43</v>
      </c>
      <c r="E36" s="31">
        <f t="shared" si="4"/>
        <v>106.97</v>
      </c>
      <c r="F36" s="30">
        <f t="shared" si="4"/>
        <v>82.5</v>
      </c>
      <c r="G36" s="30">
        <f t="shared" si="4"/>
        <v>0</v>
      </c>
      <c r="H36" s="30">
        <f t="shared" si="4"/>
        <v>0</v>
      </c>
      <c r="I36" s="30">
        <f t="shared" si="4"/>
        <v>0</v>
      </c>
      <c r="J36" s="31">
        <f>SUM(D36:I36)</f>
        <v>15503.9</v>
      </c>
      <c r="K36" s="8"/>
      <c r="L36" s="8"/>
    </row>
    <row r="37" spans="1:12" ht="15.75" thickTop="1">
      <c r="A37" s="8"/>
      <c r="B37" s="8"/>
      <c r="C37" s="8"/>
      <c r="D37" s="20"/>
      <c r="E37" s="20"/>
      <c r="F37" s="15"/>
      <c r="G37" s="8"/>
      <c r="H37" s="8"/>
      <c r="I37" s="8"/>
      <c r="J37" s="20"/>
      <c r="K37" s="8"/>
      <c r="L37" s="8"/>
    </row>
    <row r="38" spans="1:12">
      <c r="A38" s="8"/>
      <c r="B38" s="8"/>
      <c r="C38" s="8"/>
      <c r="D38" s="20"/>
      <c r="E38" s="20"/>
      <c r="F38" s="15"/>
      <c r="G38" s="15"/>
      <c r="H38" s="15"/>
      <c r="I38" s="15"/>
      <c r="J38" s="20"/>
      <c r="K38" s="8"/>
      <c r="L38" s="8"/>
    </row>
    <row r="39" spans="1:12">
      <c r="A39" s="8"/>
      <c r="B39" s="8"/>
      <c r="C39" s="8"/>
      <c r="D39" s="20"/>
      <c r="E39" s="20"/>
      <c r="F39" s="15"/>
      <c r="G39" s="15"/>
      <c r="H39" s="15"/>
      <c r="I39" s="15"/>
      <c r="J39" s="20"/>
      <c r="K39" s="8"/>
      <c r="L39" s="8"/>
    </row>
    <row r="40" spans="1:12">
      <c r="A40" s="8">
        <v>26</v>
      </c>
      <c r="B40" s="8" t="s">
        <v>19</v>
      </c>
      <c r="C40" s="8" t="s">
        <v>12</v>
      </c>
      <c r="D40" s="20">
        <v>6561.64</v>
      </c>
      <c r="E40" s="20">
        <v>218.64</v>
      </c>
      <c r="F40" s="15">
        <v>210.66</v>
      </c>
      <c r="G40" s="15">
        <v>211.51</v>
      </c>
      <c r="H40" s="15">
        <v>105.97</v>
      </c>
      <c r="I40" s="15"/>
      <c r="J40" s="20">
        <f>SUM(D40:I40)</f>
        <v>7308.420000000001</v>
      </c>
      <c r="K40" s="8"/>
      <c r="L40" s="8"/>
    </row>
    <row r="41" spans="1:12" ht="15.75" thickBot="1">
      <c r="A41" s="8"/>
      <c r="B41" s="8"/>
      <c r="C41" s="8" t="s">
        <v>13</v>
      </c>
      <c r="D41" s="29">
        <v>113.73</v>
      </c>
      <c r="E41" s="29">
        <v>3.81</v>
      </c>
      <c r="F41" s="28">
        <v>3.8</v>
      </c>
      <c r="G41" s="28">
        <v>3.75</v>
      </c>
      <c r="H41" s="28">
        <v>1.81</v>
      </c>
      <c r="I41" s="28"/>
      <c r="J41" s="29">
        <f>SUM(D41:I41)</f>
        <v>126.9</v>
      </c>
      <c r="K41" s="8"/>
      <c r="L41" s="8"/>
    </row>
    <row r="42" spans="1:12">
      <c r="A42" s="8"/>
      <c r="B42" s="8"/>
      <c r="C42" s="8"/>
      <c r="D42" s="20"/>
      <c r="E42" s="20"/>
      <c r="F42" s="15"/>
      <c r="G42" s="15"/>
      <c r="H42" s="15"/>
      <c r="I42" s="15"/>
      <c r="J42" s="20"/>
      <c r="K42" s="8"/>
      <c r="L42" s="8"/>
    </row>
    <row r="43" spans="1:12" ht="15.75" thickBot="1">
      <c r="A43" s="8"/>
      <c r="B43" s="8"/>
      <c r="C43" s="8" t="s">
        <v>10</v>
      </c>
      <c r="D43" s="31">
        <f t="shared" ref="D43:I43" si="5">SUM(D40:D41)</f>
        <v>6675.37</v>
      </c>
      <c r="E43" s="31">
        <f t="shared" si="5"/>
        <v>222.45</v>
      </c>
      <c r="F43" s="30">
        <f t="shared" si="5"/>
        <v>214.46</v>
      </c>
      <c r="G43" s="30">
        <f t="shared" si="5"/>
        <v>215.26</v>
      </c>
      <c r="H43" s="30">
        <f t="shared" si="5"/>
        <v>107.78</v>
      </c>
      <c r="I43" s="30">
        <f t="shared" si="5"/>
        <v>0</v>
      </c>
      <c r="J43" s="31">
        <f>SUM(D43:I43)</f>
        <v>7435.32</v>
      </c>
      <c r="K43" s="8"/>
      <c r="L43" s="8"/>
    </row>
    <row r="44" spans="1:12" ht="15.75" thickTop="1">
      <c r="A44" s="8"/>
      <c r="B44" s="8"/>
      <c r="C44" s="8"/>
      <c r="D44" s="20"/>
      <c r="E44" s="20"/>
      <c r="F44" s="15"/>
      <c r="G44" s="15"/>
      <c r="H44" s="15"/>
      <c r="I44" s="15"/>
      <c r="J44" s="20"/>
      <c r="K44" s="8"/>
      <c r="L44" s="8"/>
    </row>
    <row r="45" spans="1:12">
      <c r="A45" s="8"/>
      <c r="B45" s="8"/>
      <c r="C45" s="8"/>
      <c r="D45" s="20"/>
      <c r="E45" s="20"/>
      <c r="F45" s="15"/>
      <c r="G45" s="15"/>
      <c r="H45" s="15"/>
      <c r="I45" s="15"/>
      <c r="J45" s="20"/>
      <c r="K45" s="8"/>
      <c r="L45" s="8"/>
    </row>
    <row r="46" spans="1:12" ht="15.75" thickBot="1">
      <c r="A46" s="8">
        <v>27</v>
      </c>
      <c r="B46" s="8" t="s">
        <v>20</v>
      </c>
      <c r="C46" s="8" t="s">
        <v>12</v>
      </c>
      <c r="D46" s="29">
        <v>10964.74</v>
      </c>
      <c r="E46" s="29">
        <v>130.05000000000001</v>
      </c>
      <c r="F46" s="28">
        <v>2.69</v>
      </c>
      <c r="G46" s="28"/>
      <c r="H46" s="28"/>
      <c r="I46" s="28"/>
      <c r="J46" s="29">
        <f>SUM(D46:I46)</f>
        <v>11097.48</v>
      </c>
      <c r="K46" s="8"/>
      <c r="L46" s="8"/>
    </row>
    <row r="47" spans="1:12">
      <c r="A47" s="8"/>
      <c r="B47" s="8"/>
      <c r="C47" s="8"/>
      <c r="D47" s="20"/>
      <c r="E47" s="20"/>
      <c r="F47" s="15"/>
      <c r="G47" s="15"/>
      <c r="H47" s="15"/>
      <c r="I47" s="15"/>
      <c r="J47" s="20"/>
      <c r="K47" s="8"/>
      <c r="L47" s="8"/>
    </row>
    <row r="48" spans="1:12" ht="15.75" thickBot="1">
      <c r="A48" s="8"/>
      <c r="B48" s="8"/>
      <c r="C48" s="8" t="s">
        <v>10</v>
      </c>
      <c r="D48" s="31">
        <f t="shared" ref="D48:I48" si="6">SUM(D46:D47)</f>
        <v>10964.74</v>
      </c>
      <c r="E48" s="31">
        <f t="shared" si="6"/>
        <v>130.05000000000001</v>
      </c>
      <c r="F48" s="30">
        <f t="shared" si="6"/>
        <v>2.69</v>
      </c>
      <c r="G48" s="30">
        <f t="shared" si="6"/>
        <v>0</v>
      </c>
      <c r="H48" s="30">
        <f t="shared" si="6"/>
        <v>0</v>
      </c>
      <c r="I48" s="30">
        <f t="shared" si="6"/>
        <v>0</v>
      </c>
      <c r="J48" s="31">
        <f>SUM(D48:I48)</f>
        <v>11097.48</v>
      </c>
      <c r="K48" s="8"/>
      <c r="L48" s="8"/>
    </row>
    <row r="49" spans="1:12" ht="15.75" thickTop="1">
      <c r="A49" s="8"/>
      <c r="B49" s="8"/>
      <c r="C49" s="8"/>
      <c r="D49" s="20"/>
      <c r="E49" s="20"/>
      <c r="F49" s="15"/>
      <c r="G49" s="8"/>
      <c r="H49" s="8"/>
      <c r="I49" s="8"/>
      <c r="J49" s="20"/>
      <c r="K49" s="8"/>
      <c r="L49" s="8"/>
    </row>
    <row r="50" spans="1:12">
      <c r="A50" s="8"/>
      <c r="B50" s="8"/>
      <c r="C50" s="8"/>
      <c r="D50" s="20"/>
      <c r="E50" s="20"/>
      <c r="F50" s="15"/>
      <c r="G50" s="8"/>
      <c r="H50" s="8"/>
      <c r="I50" s="8"/>
      <c r="J50" s="20"/>
      <c r="K50" s="8"/>
      <c r="L50" s="8"/>
    </row>
    <row r="51" spans="1:12">
      <c r="A51" s="8"/>
      <c r="B51" s="8"/>
      <c r="C51" s="8"/>
      <c r="D51" s="20"/>
      <c r="E51" s="20"/>
      <c r="F51" s="15"/>
      <c r="G51" s="15"/>
      <c r="H51" s="15"/>
      <c r="I51" s="15"/>
      <c r="J51" s="20"/>
      <c r="K51" s="8"/>
      <c r="L51" s="8"/>
    </row>
    <row r="52" spans="1:12">
      <c r="A52" s="8"/>
      <c r="B52" s="8"/>
      <c r="C52" s="8"/>
      <c r="D52" s="20"/>
      <c r="E52" s="20"/>
      <c r="F52" s="15"/>
      <c r="G52" s="15"/>
      <c r="H52" s="15"/>
      <c r="I52" s="15"/>
      <c r="J52" s="20"/>
      <c r="K52" s="8"/>
      <c r="L52" s="8"/>
    </row>
    <row r="53" spans="1:12">
      <c r="A53" s="8">
        <v>28</v>
      </c>
      <c r="B53" s="8" t="s">
        <v>21</v>
      </c>
      <c r="C53" s="8" t="s">
        <v>12</v>
      </c>
      <c r="D53" s="20">
        <v>6276.94</v>
      </c>
      <c r="E53" s="20">
        <v>429.05</v>
      </c>
      <c r="F53" s="15">
        <v>218.95</v>
      </c>
      <c r="G53" s="15"/>
      <c r="H53" s="15"/>
      <c r="I53" s="15"/>
      <c r="J53" s="20">
        <f>SUM(D53:I53)</f>
        <v>6924.94</v>
      </c>
      <c r="K53" s="8"/>
      <c r="L53" s="8"/>
    </row>
    <row r="54" spans="1:12" ht="15.75" thickBot="1">
      <c r="A54" s="8"/>
      <c r="B54" s="8"/>
      <c r="C54" s="8" t="s">
        <v>13</v>
      </c>
      <c r="D54" s="29">
        <v>175.7</v>
      </c>
      <c r="E54" s="29">
        <v>12.83</v>
      </c>
      <c r="F54" s="28">
        <v>6.49</v>
      </c>
      <c r="G54" s="28"/>
      <c r="H54" s="28"/>
      <c r="I54" s="28"/>
      <c r="J54" s="29">
        <f>SUM(D54:I54)</f>
        <v>195.02</v>
      </c>
      <c r="K54" s="8"/>
      <c r="L54" s="8"/>
    </row>
    <row r="55" spans="1:12">
      <c r="A55" s="8"/>
      <c r="B55" s="8"/>
      <c r="C55" s="8"/>
      <c r="D55" s="20"/>
      <c r="E55" s="20"/>
      <c r="F55" s="15"/>
      <c r="G55" s="15"/>
      <c r="H55" s="15"/>
      <c r="I55" s="15"/>
      <c r="J55" s="20"/>
      <c r="K55" s="8"/>
      <c r="L55" s="8"/>
    </row>
    <row r="56" spans="1:12" ht="15.75" thickBot="1">
      <c r="A56" s="8"/>
      <c r="B56" s="8"/>
      <c r="C56" s="8" t="s">
        <v>10</v>
      </c>
      <c r="D56" s="31">
        <f t="shared" ref="D56:I56" si="7">SUM(D53:D54)</f>
        <v>6452.6399999999994</v>
      </c>
      <c r="E56" s="31">
        <f t="shared" si="7"/>
        <v>441.88</v>
      </c>
      <c r="F56" s="30">
        <f t="shared" si="7"/>
        <v>225.44</v>
      </c>
      <c r="G56" s="30">
        <f t="shared" si="7"/>
        <v>0</v>
      </c>
      <c r="H56" s="30">
        <f t="shared" si="7"/>
        <v>0</v>
      </c>
      <c r="I56" s="30">
        <f t="shared" si="7"/>
        <v>0</v>
      </c>
      <c r="J56" s="31">
        <f>SUM(D56:I56)</f>
        <v>7119.9599999999991</v>
      </c>
      <c r="K56" s="8"/>
      <c r="L56" s="8"/>
    </row>
    <row r="57" spans="1:12" ht="15.75" thickTop="1">
      <c r="A57" s="8"/>
      <c r="B57" s="8"/>
      <c r="C57" s="8"/>
      <c r="D57" s="20"/>
      <c r="E57" s="20"/>
      <c r="F57" s="15"/>
      <c r="G57" s="15"/>
      <c r="H57" s="15"/>
      <c r="I57" s="15"/>
      <c r="J57" s="20"/>
      <c r="K57" s="8"/>
      <c r="L57" s="8"/>
    </row>
    <row r="58" spans="1:12">
      <c r="A58" s="8"/>
      <c r="B58" s="8"/>
      <c r="C58" s="8"/>
      <c r="D58" s="20"/>
      <c r="E58" s="20"/>
      <c r="F58" s="15"/>
      <c r="G58" s="15"/>
      <c r="H58" s="15"/>
      <c r="I58" s="15"/>
      <c r="J58" s="20"/>
      <c r="K58" s="8"/>
      <c r="L58" s="8"/>
    </row>
    <row r="59" spans="1:12">
      <c r="A59" s="8">
        <v>29</v>
      </c>
      <c r="B59" s="8" t="s">
        <v>22</v>
      </c>
      <c r="C59" s="8" t="s">
        <v>12</v>
      </c>
      <c r="D59" s="20">
        <v>9102.32</v>
      </c>
      <c r="E59" s="20"/>
      <c r="F59" s="15"/>
      <c r="G59" s="15"/>
      <c r="H59" s="15"/>
      <c r="I59" s="15"/>
      <c r="J59" s="20">
        <f>SUM(D59:I59)</f>
        <v>9102.32</v>
      </c>
      <c r="K59" s="8"/>
      <c r="L59" s="8"/>
    </row>
    <row r="60" spans="1:12">
      <c r="A60" s="8"/>
      <c r="B60" s="8"/>
      <c r="C60" s="8" t="s">
        <v>35</v>
      </c>
      <c r="D60" s="20">
        <v>465.01</v>
      </c>
      <c r="E60" s="20"/>
      <c r="F60" s="15"/>
      <c r="G60" s="15"/>
      <c r="H60" s="15"/>
      <c r="I60" s="15"/>
      <c r="J60" s="20">
        <f>SUM(D60:I60)</f>
        <v>465.01</v>
      </c>
      <c r="K60" s="8"/>
      <c r="L60" s="8"/>
    </row>
    <row r="61" spans="1:12">
      <c r="A61" s="8"/>
      <c r="B61" s="8"/>
      <c r="C61" s="8" t="s">
        <v>13</v>
      </c>
      <c r="D61" s="20">
        <v>502.48</v>
      </c>
      <c r="E61" s="20"/>
      <c r="F61" s="15"/>
      <c r="G61" s="15"/>
      <c r="H61" s="15"/>
      <c r="I61" s="15"/>
      <c r="J61" s="20">
        <f>SUM(D61:I61)</f>
        <v>502.48</v>
      </c>
      <c r="K61" s="8"/>
      <c r="L61" s="8"/>
    </row>
    <row r="62" spans="1:12" ht="15.75" thickBot="1">
      <c r="A62" s="8"/>
      <c r="B62" s="8"/>
      <c r="C62" s="8" t="s">
        <v>78</v>
      </c>
      <c r="D62" s="29">
        <v>1043.07</v>
      </c>
      <c r="E62" s="29"/>
      <c r="F62" s="28"/>
      <c r="G62" s="28"/>
      <c r="H62" s="28"/>
      <c r="I62" s="28"/>
      <c r="J62" s="29">
        <f>SUM(D62:I62)</f>
        <v>1043.07</v>
      </c>
      <c r="K62" s="8"/>
      <c r="L62" s="8"/>
    </row>
    <row r="63" spans="1:12">
      <c r="A63" s="8"/>
      <c r="B63" s="8"/>
      <c r="C63" s="8"/>
      <c r="D63" s="20"/>
      <c r="E63" s="20"/>
      <c r="F63" s="15"/>
      <c r="G63" s="15"/>
      <c r="H63" s="15"/>
      <c r="I63" s="15"/>
      <c r="J63" s="20"/>
      <c r="K63" s="8"/>
      <c r="L63" s="8"/>
    </row>
    <row r="64" spans="1:12" ht="15.75" thickBot="1">
      <c r="A64" s="8"/>
      <c r="B64" s="8"/>
      <c r="C64" s="8" t="s">
        <v>10</v>
      </c>
      <c r="D64" s="31">
        <f t="shared" ref="D64:I64" si="8">SUM(D59:D62)</f>
        <v>11112.88</v>
      </c>
      <c r="E64" s="31">
        <f t="shared" si="8"/>
        <v>0</v>
      </c>
      <c r="F64" s="30">
        <f t="shared" si="8"/>
        <v>0</v>
      </c>
      <c r="G64" s="30">
        <f t="shared" si="8"/>
        <v>0</v>
      </c>
      <c r="H64" s="30">
        <f t="shared" si="8"/>
        <v>0</v>
      </c>
      <c r="I64" s="30">
        <f t="shared" si="8"/>
        <v>0</v>
      </c>
      <c r="J64" s="31">
        <f>SUM(D64:I64)</f>
        <v>11112.88</v>
      </c>
      <c r="K64" s="8"/>
      <c r="L64" s="8"/>
    </row>
    <row r="65" spans="1:12" ht="15.75" thickTop="1">
      <c r="A65" s="8"/>
      <c r="B65" s="8"/>
      <c r="C65" s="8"/>
      <c r="D65" s="20"/>
      <c r="E65" s="20"/>
      <c r="F65" s="15"/>
      <c r="G65" s="15"/>
      <c r="H65" s="15"/>
      <c r="I65" s="15"/>
      <c r="J65" s="20"/>
      <c r="K65" s="8"/>
      <c r="L65" s="8"/>
    </row>
    <row r="66" spans="1:12">
      <c r="A66" s="8"/>
      <c r="B66" s="8"/>
      <c r="C66" s="8"/>
      <c r="D66" s="20"/>
      <c r="E66" s="20"/>
      <c r="F66" s="15"/>
      <c r="G66" s="15"/>
      <c r="H66" s="15"/>
      <c r="I66" s="15"/>
      <c r="J66" s="20"/>
      <c r="K66" s="8"/>
      <c r="L66" s="8"/>
    </row>
    <row r="67" spans="1:12">
      <c r="A67" s="8">
        <v>30</v>
      </c>
      <c r="B67" s="8" t="s">
        <v>23</v>
      </c>
      <c r="C67" s="8" t="s">
        <v>12</v>
      </c>
      <c r="D67" s="20">
        <v>5574.52</v>
      </c>
      <c r="E67" s="20">
        <v>88.2</v>
      </c>
      <c r="F67" s="15">
        <v>16.28</v>
      </c>
      <c r="G67" s="15">
        <v>16.309999999999999</v>
      </c>
      <c r="H67" s="15">
        <v>14.54</v>
      </c>
      <c r="I67" s="15"/>
      <c r="J67" s="20">
        <f>SUM(D67:I67)</f>
        <v>5709.85</v>
      </c>
      <c r="K67" s="8"/>
      <c r="L67" s="8"/>
    </row>
    <row r="68" spans="1:12" ht="15.75" thickBot="1">
      <c r="A68" s="8"/>
      <c r="B68" s="8"/>
      <c r="C68" s="8" t="s">
        <v>13</v>
      </c>
      <c r="D68" s="29"/>
      <c r="E68" s="29"/>
      <c r="F68" s="28"/>
      <c r="G68" s="28"/>
      <c r="H68" s="28"/>
      <c r="I68" s="28"/>
      <c r="J68" s="29"/>
      <c r="K68" s="8"/>
      <c r="L68" s="8"/>
    </row>
    <row r="69" spans="1:12">
      <c r="A69" s="8"/>
      <c r="B69" s="8"/>
      <c r="C69" s="8"/>
      <c r="D69" s="20"/>
      <c r="E69" s="20"/>
      <c r="F69" s="15"/>
      <c r="G69" s="15"/>
      <c r="H69" s="15"/>
      <c r="I69" s="15"/>
      <c r="J69" s="20"/>
      <c r="K69" s="8"/>
      <c r="L69" s="8"/>
    </row>
    <row r="70" spans="1:12" ht="15.75" thickBot="1">
      <c r="A70" s="8"/>
      <c r="B70" s="8"/>
      <c r="C70" s="15" t="s">
        <v>10</v>
      </c>
      <c r="D70" s="31">
        <f t="shared" ref="D70:I70" si="9">SUM(D67:D68)</f>
        <v>5574.52</v>
      </c>
      <c r="E70" s="31">
        <f t="shared" si="9"/>
        <v>88.2</v>
      </c>
      <c r="F70" s="30">
        <f t="shared" si="9"/>
        <v>16.28</v>
      </c>
      <c r="G70" s="30">
        <f t="shared" si="9"/>
        <v>16.309999999999999</v>
      </c>
      <c r="H70" s="30">
        <f t="shared" si="9"/>
        <v>14.54</v>
      </c>
      <c r="I70" s="30">
        <f t="shared" si="9"/>
        <v>0</v>
      </c>
      <c r="J70" s="31">
        <f>SUM(D70:I70)</f>
        <v>5709.85</v>
      </c>
      <c r="K70" s="8"/>
      <c r="L70" s="8"/>
    </row>
    <row r="71" spans="1:12" ht="15.75" thickTop="1">
      <c r="A71" s="8"/>
      <c r="B71" s="8"/>
      <c r="C71" s="8"/>
      <c r="D71" s="20"/>
      <c r="E71" s="20"/>
      <c r="F71" s="15"/>
      <c r="G71" s="15"/>
      <c r="H71" s="15"/>
      <c r="I71" s="15"/>
      <c r="J71" s="20"/>
      <c r="K71" s="8"/>
      <c r="L71" s="8"/>
    </row>
    <row r="72" spans="1:12">
      <c r="A72" s="8"/>
      <c r="B72" s="8"/>
      <c r="C72" s="8"/>
      <c r="D72" s="20"/>
      <c r="E72" s="20"/>
      <c r="F72" s="15"/>
      <c r="G72" s="15"/>
      <c r="H72" s="15"/>
      <c r="I72" s="15"/>
      <c r="J72" s="20"/>
      <c r="K72" s="8"/>
      <c r="L72" s="8"/>
    </row>
    <row r="73" spans="1:12">
      <c r="A73" s="8">
        <v>31</v>
      </c>
      <c r="B73" s="8" t="s">
        <v>24</v>
      </c>
      <c r="C73" s="8" t="s">
        <v>12</v>
      </c>
      <c r="D73" s="20">
        <v>2687.87</v>
      </c>
      <c r="E73" s="20"/>
      <c r="F73" s="15"/>
      <c r="G73" s="15"/>
      <c r="H73" s="15"/>
      <c r="I73" s="15"/>
      <c r="J73" s="20">
        <f>SUM(D73:I73)</f>
        <v>2687.87</v>
      </c>
      <c r="K73" s="8"/>
      <c r="L73" s="8"/>
    </row>
    <row r="74" spans="1:12" ht="15.75" thickBot="1">
      <c r="A74" s="8"/>
      <c r="B74" s="8"/>
      <c r="C74" s="8" t="s">
        <v>13</v>
      </c>
      <c r="D74" s="29">
        <v>93.54</v>
      </c>
      <c r="E74" s="29"/>
      <c r="F74" s="28"/>
      <c r="G74" s="28"/>
      <c r="H74" s="28"/>
      <c r="I74" s="28"/>
      <c r="J74" s="29">
        <f>SUM(D74:I74)</f>
        <v>93.54</v>
      </c>
      <c r="K74" s="8"/>
      <c r="L74" s="8"/>
    </row>
    <row r="75" spans="1:12">
      <c r="A75" s="8"/>
      <c r="B75" s="8"/>
      <c r="C75" s="8"/>
      <c r="D75" s="20"/>
      <c r="E75" s="20"/>
      <c r="F75" s="15"/>
      <c r="G75" s="15"/>
      <c r="H75" s="15"/>
      <c r="I75" s="15"/>
      <c r="J75" s="20"/>
      <c r="K75" s="8"/>
      <c r="L75" s="8"/>
    </row>
    <row r="76" spans="1:12" ht="15.75" thickBot="1">
      <c r="A76" s="8"/>
      <c r="B76" s="8"/>
      <c r="C76" s="8" t="s">
        <v>10</v>
      </c>
      <c r="D76" s="31">
        <f t="shared" ref="D76:I76" si="10">SUM(D73:D74)</f>
        <v>2781.41</v>
      </c>
      <c r="E76" s="31">
        <f t="shared" si="10"/>
        <v>0</v>
      </c>
      <c r="F76" s="30">
        <f t="shared" si="10"/>
        <v>0</v>
      </c>
      <c r="G76" s="30">
        <f t="shared" si="10"/>
        <v>0</v>
      </c>
      <c r="H76" s="30">
        <f t="shared" si="10"/>
        <v>0</v>
      </c>
      <c r="I76" s="30">
        <f t="shared" si="10"/>
        <v>0</v>
      </c>
      <c r="J76" s="31">
        <f>SUM(D76:I76)</f>
        <v>2781.41</v>
      </c>
      <c r="K76" s="8"/>
      <c r="L76" s="8"/>
    </row>
    <row r="77" spans="1:12" ht="15.75" thickTop="1">
      <c r="A77" s="8"/>
      <c r="B77" s="8"/>
      <c r="C77" s="8"/>
      <c r="D77" s="20"/>
      <c r="E77" s="20"/>
      <c r="F77" s="15"/>
      <c r="G77" s="15"/>
      <c r="H77" s="15"/>
      <c r="I77" s="15"/>
      <c r="J77" s="20"/>
      <c r="K77" s="8"/>
      <c r="L77" s="8"/>
    </row>
    <row r="78" spans="1:12">
      <c r="A78" s="8"/>
      <c r="B78" s="8"/>
      <c r="C78" s="8"/>
      <c r="D78" s="20"/>
      <c r="E78" s="20"/>
      <c r="F78" s="15"/>
      <c r="G78" s="15"/>
      <c r="H78" s="15"/>
      <c r="I78" s="15"/>
      <c r="J78" s="20"/>
      <c r="K78" s="8"/>
      <c r="L78" s="8"/>
    </row>
    <row r="79" spans="1:12">
      <c r="A79" s="8">
        <v>32</v>
      </c>
      <c r="B79" s="8" t="s">
        <v>25</v>
      </c>
      <c r="C79" s="8" t="s">
        <v>12</v>
      </c>
      <c r="D79" s="20">
        <v>15926.99</v>
      </c>
      <c r="E79" s="20">
        <v>248.53</v>
      </c>
      <c r="F79" s="15">
        <v>142.88</v>
      </c>
      <c r="G79" s="15">
        <v>137.87</v>
      </c>
      <c r="H79" s="15">
        <v>54.27</v>
      </c>
      <c r="I79" s="15"/>
      <c r="J79" s="20">
        <f>SUM(D79:I79)</f>
        <v>16510.54</v>
      </c>
      <c r="K79" s="8"/>
      <c r="L79" s="8"/>
    </row>
    <row r="80" spans="1:12">
      <c r="A80" s="8"/>
      <c r="B80" s="8"/>
      <c r="C80" s="8" t="s">
        <v>13</v>
      </c>
      <c r="D80" s="20">
        <v>265.33</v>
      </c>
      <c r="E80" s="20">
        <v>5.0599999999999996</v>
      </c>
      <c r="F80" s="15">
        <v>2.76</v>
      </c>
      <c r="G80" s="15">
        <v>2.82</v>
      </c>
      <c r="H80" s="15">
        <v>1.26</v>
      </c>
      <c r="I80" s="15"/>
      <c r="J80" s="20">
        <f>SUM(D80:I80)</f>
        <v>277.22999999999996</v>
      </c>
      <c r="K80" s="8"/>
      <c r="L80" s="8"/>
    </row>
    <row r="81" spans="1:12">
      <c r="A81" s="8"/>
      <c r="B81" s="8"/>
      <c r="C81" s="8" t="s">
        <v>73</v>
      </c>
      <c r="D81" s="20"/>
      <c r="E81" s="20"/>
      <c r="F81" s="26"/>
      <c r="G81" s="8"/>
      <c r="H81" s="26"/>
      <c r="I81" s="8"/>
      <c r="J81" s="20">
        <f>SUM(D81:I81)</f>
        <v>0</v>
      </c>
      <c r="K81" s="8"/>
      <c r="L81" s="8"/>
    </row>
    <row r="82" spans="1:12" ht="15.75" thickBot="1">
      <c r="A82" s="8"/>
      <c r="B82" s="8"/>
      <c r="C82" s="8" t="s">
        <v>78</v>
      </c>
      <c r="D82" s="29"/>
      <c r="E82" s="29"/>
      <c r="F82" s="33"/>
      <c r="G82" s="27"/>
      <c r="H82" s="27"/>
      <c r="I82" s="27"/>
      <c r="J82" s="29">
        <f>SUM(D82:I82)</f>
        <v>0</v>
      </c>
      <c r="K82" s="8"/>
      <c r="L82" s="8"/>
    </row>
    <row r="83" spans="1:12">
      <c r="A83" s="8"/>
      <c r="B83" s="8"/>
      <c r="C83" s="8"/>
      <c r="D83" s="20"/>
      <c r="E83" s="20"/>
      <c r="F83" s="15"/>
      <c r="G83" s="8"/>
      <c r="H83" s="8"/>
      <c r="I83" s="8"/>
      <c r="J83" s="20"/>
      <c r="K83" s="8"/>
      <c r="L83" s="8"/>
    </row>
    <row r="84" spans="1:12" ht="15.75" thickBot="1">
      <c r="A84" s="8"/>
      <c r="B84" s="8"/>
      <c r="C84" s="8" t="s">
        <v>10</v>
      </c>
      <c r="D84" s="31">
        <f t="shared" ref="D84:I84" si="11">SUM(D79:D82)</f>
        <v>16192.32</v>
      </c>
      <c r="E84" s="31">
        <f t="shared" si="11"/>
        <v>253.59</v>
      </c>
      <c r="F84" s="30">
        <f t="shared" si="11"/>
        <v>145.63999999999999</v>
      </c>
      <c r="G84" s="30">
        <f t="shared" si="11"/>
        <v>140.69</v>
      </c>
      <c r="H84" s="30">
        <f t="shared" si="11"/>
        <v>55.53</v>
      </c>
      <c r="I84" s="30">
        <f t="shared" si="11"/>
        <v>0</v>
      </c>
      <c r="J84" s="31">
        <f>SUM(D84:I84)</f>
        <v>16787.769999999997</v>
      </c>
      <c r="K84" s="8"/>
      <c r="L84" s="8"/>
    </row>
    <row r="85" spans="1:12" ht="15.75" thickTop="1">
      <c r="A85" s="8"/>
      <c r="B85" s="8"/>
      <c r="C85" s="8"/>
      <c r="D85" s="20"/>
      <c r="E85" s="20"/>
      <c r="F85" s="15"/>
      <c r="G85" s="15"/>
      <c r="H85" s="15"/>
      <c r="I85" s="15"/>
      <c r="J85" s="20"/>
      <c r="K85" s="8"/>
      <c r="L85" s="8"/>
    </row>
    <row r="86" spans="1:12">
      <c r="A86" s="8"/>
      <c r="B86" s="8"/>
      <c r="C86" s="8"/>
      <c r="D86" s="20"/>
      <c r="E86" s="20"/>
      <c r="F86" s="15"/>
      <c r="G86" s="15"/>
      <c r="H86" s="15"/>
      <c r="I86" s="15"/>
      <c r="J86" s="20"/>
      <c r="K86" s="8"/>
      <c r="L86" s="8"/>
    </row>
    <row r="87" spans="1:12">
      <c r="A87" s="8">
        <v>33</v>
      </c>
      <c r="B87" s="8" t="s">
        <v>26</v>
      </c>
      <c r="C87" s="8" t="s">
        <v>12</v>
      </c>
      <c r="D87" s="20">
        <v>8167</v>
      </c>
      <c r="E87" s="20">
        <v>231.53</v>
      </c>
      <c r="F87" s="15">
        <v>100.15</v>
      </c>
      <c r="G87" s="15"/>
      <c r="H87" s="15"/>
      <c r="I87" s="15"/>
      <c r="J87" s="20">
        <f>SUM(D87:I87)</f>
        <v>8498.68</v>
      </c>
      <c r="K87" s="8"/>
      <c r="L87" s="8"/>
    </row>
    <row r="88" spans="1:12" ht="15.75" thickBot="1">
      <c r="A88" s="8"/>
      <c r="B88" s="8"/>
      <c r="C88" s="8" t="s">
        <v>13</v>
      </c>
      <c r="D88" s="29">
        <v>130.19999999999999</v>
      </c>
      <c r="E88" s="29">
        <v>1.65</v>
      </c>
      <c r="F88" s="28">
        <v>1.23</v>
      </c>
      <c r="G88" s="28"/>
      <c r="H88" s="28"/>
      <c r="I88" s="28"/>
      <c r="J88" s="29">
        <f>SUM(D88:I88)</f>
        <v>133.07999999999998</v>
      </c>
      <c r="K88" s="8"/>
      <c r="L88" s="8"/>
    </row>
    <row r="89" spans="1:12">
      <c r="A89" s="8"/>
      <c r="B89" s="8"/>
      <c r="C89" s="8"/>
      <c r="D89" s="20"/>
      <c r="E89" s="20"/>
      <c r="F89" s="15"/>
      <c r="G89" s="15"/>
      <c r="H89" s="15"/>
      <c r="I89" s="15"/>
      <c r="J89" s="20"/>
      <c r="K89" s="8"/>
      <c r="L89" s="8"/>
    </row>
    <row r="90" spans="1:12" ht="15.75" thickBot="1">
      <c r="A90" s="8"/>
      <c r="B90" s="8"/>
      <c r="C90" s="8" t="s">
        <v>10</v>
      </c>
      <c r="D90" s="31">
        <f t="shared" ref="D90:I90" si="12">SUM(D87:D88)</f>
        <v>8297.2000000000007</v>
      </c>
      <c r="E90" s="31">
        <f t="shared" si="12"/>
        <v>233.18</v>
      </c>
      <c r="F90" s="30">
        <f t="shared" si="12"/>
        <v>101.38000000000001</v>
      </c>
      <c r="G90" s="30">
        <f t="shared" si="12"/>
        <v>0</v>
      </c>
      <c r="H90" s="30">
        <f t="shared" si="12"/>
        <v>0</v>
      </c>
      <c r="I90" s="30">
        <f t="shared" si="12"/>
        <v>0</v>
      </c>
      <c r="J90" s="31">
        <f>SUM(D90:I90)</f>
        <v>8631.76</v>
      </c>
      <c r="K90" s="8"/>
      <c r="L90" s="8"/>
    </row>
    <row r="91" spans="1:12" ht="15.75" thickTop="1">
      <c r="A91" s="8"/>
      <c r="B91" s="8"/>
      <c r="C91" s="8"/>
      <c r="D91" s="20"/>
      <c r="E91" s="20"/>
      <c r="F91" s="15"/>
      <c r="G91" s="15"/>
      <c r="H91" s="15"/>
      <c r="I91" s="15"/>
      <c r="J91" s="20"/>
      <c r="K91" s="8"/>
      <c r="L91" s="8"/>
    </row>
    <row r="92" spans="1:12">
      <c r="A92" s="8"/>
      <c r="B92" s="8"/>
      <c r="C92" s="8"/>
      <c r="D92" s="20"/>
      <c r="E92" s="20"/>
      <c r="F92" s="15"/>
      <c r="G92" s="15"/>
      <c r="H92" s="15"/>
      <c r="I92" s="15"/>
      <c r="J92" s="20"/>
      <c r="K92" s="8"/>
      <c r="L92" s="8"/>
    </row>
    <row r="93" spans="1:12">
      <c r="A93" s="8">
        <v>34</v>
      </c>
      <c r="B93" s="8" t="s">
        <v>27</v>
      </c>
      <c r="C93" s="8" t="s">
        <v>12</v>
      </c>
      <c r="D93" s="20">
        <v>11995.35</v>
      </c>
      <c r="E93" s="20">
        <v>85.42</v>
      </c>
      <c r="F93" s="15">
        <v>0.05</v>
      </c>
      <c r="G93" s="15"/>
      <c r="H93" s="15"/>
      <c r="I93" s="15"/>
      <c r="J93" s="20">
        <f>SUM(D93:I93)</f>
        <v>12080.82</v>
      </c>
      <c r="K93" s="8"/>
      <c r="L93" s="8"/>
    </row>
    <row r="94" spans="1:12">
      <c r="A94" s="8"/>
      <c r="B94" s="8"/>
      <c r="C94" s="8" t="s">
        <v>35</v>
      </c>
      <c r="D94" s="20">
        <v>466.75</v>
      </c>
      <c r="E94" s="20"/>
      <c r="F94" s="15"/>
      <c r="G94" s="15"/>
      <c r="H94" s="15"/>
      <c r="I94" s="15"/>
      <c r="J94" s="20"/>
      <c r="K94" s="8"/>
      <c r="L94" s="8"/>
    </row>
    <row r="95" spans="1:12">
      <c r="A95" s="8"/>
      <c r="B95" s="8"/>
      <c r="C95" s="8" t="s">
        <v>13</v>
      </c>
      <c r="D95" s="20">
        <v>443.32</v>
      </c>
      <c r="E95" s="20">
        <v>6.55</v>
      </c>
      <c r="F95" s="15">
        <v>0.05</v>
      </c>
      <c r="G95" s="15"/>
      <c r="H95" s="15"/>
      <c r="I95" s="15"/>
      <c r="J95" s="20">
        <f>SUM(D95:I95)</f>
        <v>449.92</v>
      </c>
      <c r="K95" s="8"/>
      <c r="L95" s="8"/>
    </row>
    <row r="96" spans="1:12" ht="15.75" thickBot="1">
      <c r="A96" s="8"/>
      <c r="B96" s="8"/>
      <c r="C96" s="8" t="s">
        <v>78</v>
      </c>
      <c r="D96" s="29">
        <v>1143.43</v>
      </c>
      <c r="E96" s="29">
        <v>12.25</v>
      </c>
      <c r="F96" s="28">
        <v>0.08</v>
      </c>
      <c r="G96" s="28"/>
      <c r="H96" s="28"/>
      <c r="I96" s="28"/>
      <c r="J96" s="29">
        <f>SUM(D96:I96)</f>
        <v>1155.76</v>
      </c>
      <c r="K96" s="8"/>
      <c r="L96" s="8"/>
    </row>
    <row r="97" spans="1:12">
      <c r="A97" s="8"/>
      <c r="B97" s="8"/>
      <c r="C97" s="8"/>
      <c r="D97" s="20"/>
      <c r="E97" s="20"/>
      <c r="F97" s="15"/>
      <c r="G97" s="15"/>
      <c r="H97" s="15"/>
      <c r="I97" s="15"/>
      <c r="J97" s="20"/>
      <c r="K97" s="8"/>
      <c r="L97" s="8"/>
    </row>
    <row r="98" spans="1:12" ht="15.75" thickBot="1">
      <c r="A98" s="8"/>
      <c r="B98" s="8"/>
      <c r="C98" s="8" t="s">
        <v>10</v>
      </c>
      <c r="D98" s="31">
        <f t="shared" ref="D98:I98" si="13">SUM(D93:D97)</f>
        <v>14048.85</v>
      </c>
      <c r="E98" s="31">
        <f t="shared" si="13"/>
        <v>104.22</v>
      </c>
      <c r="F98" s="30">
        <f t="shared" si="13"/>
        <v>0.18</v>
      </c>
      <c r="G98" s="30">
        <f t="shared" si="13"/>
        <v>0</v>
      </c>
      <c r="H98" s="30">
        <f t="shared" si="13"/>
        <v>0</v>
      </c>
      <c r="I98" s="30">
        <f t="shared" si="13"/>
        <v>0</v>
      </c>
      <c r="J98" s="31">
        <f>SUM(D98:I98)</f>
        <v>14153.25</v>
      </c>
      <c r="K98" s="8"/>
      <c r="L98" s="8"/>
    </row>
    <row r="99" spans="1:12" ht="15.75" thickTop="1">
      <c r="A99" s="8"/>
      <c r="B99" s="8"/>
      <c r="C99" s="8"/>
      <c r="D99" s="20"/>
      <c r="E99" s="20"/>
      <c r="F99" s="15"/>
      <c r="G99" s="15"/>
      <c r="H99" s="15"/>
      <c r="I99" s="15"/>
      <c r="J99" s="20"/>
      <c r="K99" s="8"/>
      <c r="L99" s="8"/>
    </row>
    <row r="100" spans="1:12">
      <c r="A100" s="8"/>
      <c r="B100" s="8"/>
      <c r="C100" s="8"/>
      <c r="D100" s="20"/>
      <c r="E100" s="20"/>
      <c r="F100" s="15"/>
      <c r="G100" s="15"/>
      <c r="H100" s="15"/>
      <c r="I100" s="15"/>
      <c r="J100" s="20"/>
      <c r="K100" s="8"/>
      <c r="L100" s="8"/>
    </row>
    <row r="101" spans="1:12" ht="15.75" thickBot="1">
      <c r="A101" s="8">
        <v>35</v>
      </c>
      <c r="B101" s="8" t="s">
        <v>28</v>
      </c>
      <c r="C101" s="8" t="s">
        <v>12</v>
      </c>
      <c r="D101" s="29">
        <v>6381.53</v>
      </c>
      <c r="E101" s="29">
        <v>297.5</v>
      </c>
      <c r="F101" s="28">
        <v>217.51</v>
      </c>
      <c r="G101" s="28">
        <v>3.17</v>
      </c>
      <c r="H101" s="28">
        <v>3.28</v>
      </c>
      <c r="I101" s="28"/>
      <c r="J101" s="29">
        <f>SUM(D101:I101)</f>
        <v>6902.99</v>
      </c>
      <c r="K101" s="8"/>
      <c r="L101" s="8"/>
    </row>
    <row r="102" spans="1:12">
      <c r="A102" s="8"/>
      <c r="B102" s="8"/>
      <c r="C102" s="8"/>
      <c r="D102" s="20"/>
      <c r="E102" s="20"/>
      <c r="F102" s="15"/>
      <c r="G102" s="15"/>
      <c r="H102" s="15"/>
      <c r="I102" s="15"/>
      <c r="J102" s="20"/>
      <c r="K102" s="8"/>
      <c r="L102" s="8"/>
    </row>
    <row r="103" spans="1:12" ht="15.75" thickBot="1">
      <c r="A103" s="8"/>
      <c r="B103" s="8"/>
      <c r="C103" s="8" t="s">
        <v>10</v>
      </c>
      <c r="D103" s="31">
        <f t="shared" ref="D103:I103" si="14">SUM(D101:D102)</f>
        <v>6381.53</v>
      </c>
      <c r="E103" s="31">
        <f t="shared" si="14"/>
        <v>297.5</v>
      </c>
      <c r="F103" s="30">
        <f t="shared" si="14"/>
        <v>217.51</v>
      </c>
      <c r="G103" s="30">
        <f t="shared" si="14"/>
        <v>3.17</v>
      </c>
      <c r="H103" s="30">
        <f t="shared" si="14"/>
        <v>3.28</v>
      </c>
      <c r="I103" s="30">
        <f t="shared" si="14"/>
        <v>0</v>
      </c>
      <c r="J103" s="31">
        <f>SUM(D103:I103)</f>
        <v>6902.99</v>
      </c>
      <c r="K103" s="8"/>
      <c r="L103" s="8"/>
    </row>
    <row r="104" spans="1:12" ht="15.75" thickTop="1">
      <c r="A104" s="8"/>
      <c r="B104" s="8"/>
      <c r="C104" s="8"/>
      <c r="D104" s="20"/>
      <c r="E104" s="20"/>
      <c r="F104" s="15"/>
      <c r="G104" s="15"/>
      <c r="H104" s="15"/>
      <c r="I104" s="15"/>
      <c r="J104" s="20"/>
      <c r="K104" s="8"/>
      <c r="L104" s="8"/>
    </row>
    <row r="105" spans="1:12">
      <c r="A105" s="8"/>
      <c r="B105" s="8"/>
      <c r="C105" s="8"/>
      <c r="D105" s="20"/>
      <c r="E105" s="20"/>
      <c r="F105" s="15"/>
      <c r="G105" s="15"/>
      <c r="H105" s="15"/>
      <c r="I105" s="15"/>
      <c r="J105" s="20"/>
      <c r="K105" s="8"/>
      <c r="L105" s="8"/>
    </row>
    <row r="106" spans="1:12">
      <c r="A106" s="8">
        <v>36</v>
      </c>
      <c r="B106" s="8" t="s">
        <v>29</v>
      </c>
      <c r="C106" s="8" t="s">
        <v>12</v>
      </c>
      <c r="D106" s="20">
        <v>6079.81</v>
      </c>
      <c r="E106" s="20">
        <v>149.94999999999999</v>
      </c>
      <c r="F106" s="15">
        <v>116.15</v>
      </c>
      <c r="G106" s="15">
        <v>48.18</v>
      </c>
      <c r="H106" s="15">
        <v>31.71</v>
      </c>
      <c r="I106" s="15"/>
      <c r="J106" s="20">
        <f>SUM(D106:I106)</f>
        <v>6425.8</v>
      </c>
      <c r="K106" s="8"/>
      <c r="L106" s="8"/>
    </row>
    <row r="107" spans="1:12" ht="15.75" thickBot="1">
      <c r="A107" s="8"/>
      <c r="B107" s="8"/>
      <c r="C107" s="8" t="s">
        <v>13</v>
      </c>
      <c r="D107" s="29">
        <v>337.18</v>
      </c>
      <c r="E107" s="29">
        <v>11.45</v>
      </c>
      <c r="F107" s="28">
        <v>8.68</v>
      </c>
      <c r="G107" s="28">
        <v>3.85</v>
      </c>
      <c r="H107" s="28">
        <v>2.4700000000000002</v>
      </c>
      <c r="I107" s="28"/>
      <c r="J107" s="29">
        <f>SUM(D107:I107)</f>
        <v>363.63000000000005</v>
      </c>
      <c r="K107" s="8"/>
      <c r="L107" s="8"/>
    </row>
    <row r="108" spans="1:12">
      <c r="A108" s="8"/>
      <c r="B108" s="8"/>
      <c r="C108" s="8"/>
      <c r="D108" s="20"/>
      <c r="E108" s="20"/>
      <c r="F108" s="15"/>
      <c r="G108" s="15"/>
      <c r="H108" s="15"/>
      <c r="I108" s="15"/>
      <c r="J108" s="20"/>
      <c r="K108" s="8"/>
      <c r="L108" s="8"/>
    </row>
    <row r="109" spans="1:12" ht="15.75" thickBot="1">
      <c r="A109" s="8"/>
      <c r="B109" s="8"/>
      <c r="C109" s="8" t="s">
        <v>10</v>
      </c>
      <c r="D109" s="31">
        <f t="shared" ref="D109:I109" si="15">SUM(D106:D107)</f>
        <v>6416.9900000000007</v>
      </c>
      <c r="E109" s="31">
        <f t="shared" si="15"/>
        <v>161.39999999999998</v>
      </c>
      <c r="F109" s="30">
        <f t="shared" si="15"/>
        <v>124.83000000000001</v>
      </c>
      <c r="G109" s="30">
        <f t="shared" si="15"/>
        <v>52.03</v>
      </c>
      <c r="H109" s="30">
        <f t="shared" si="15"/>
        <v>34.18</v>
      </c>
      <c r="I109" s="30">
        <f t="shared" si="15"/>
        <v>0</v>
      </c>
      <c r="J109" s="31">
        <f>SUM(D109:I109)</f>
        <v>6789.43</v>
      </c>
      <c r="K109" s="8"/>
      <c r="L109" s="8"/>
    </row>
    <row r="110" spans="1:12" ht="15.75" thickTop="1">
      <c r="A110" s="8"/>
      <c r="B110" s="8"/>
      <c r="C110" s="8"/>
      <c r="D110" s="20"/>
      <c r="E110" s="20"/>
      <c r="F110" s="15"/>
      <c r="G110" s="15"/>
      <c r="H110" s="15"/>
      <c r="I110" s="15"/>
      <c r="J110" s="20"/>
      <c r="K110" s="8"/>
      <c r="L110" s="8"/>
    </row>
    <row r="111" spans="1:12">
      <c r="A111" s="8"/>
      <c r="B111" s="8"/>
      <c r="C111" s="8"/>
      <c r="D111" s="20"/>
      <c r="E111" s="20"/>
      <c r="F111" s="15"/>
      <c r="G111" s="15"/>
      <c r="H111" s="15"/>
      <c r="I111" s="15"/>
      <c r="J111" s="20"/>
      <c r="K111" s="8"/>
      <c r="L111" s="8"/>
    </row>
    <row r="112" spans="1:12" ht="15.75" thickBot="1">
      <c r="A112" s="8">
        <v>37</v>
      </c>
      <c r="B112" s="8" t="s">
        <v>30</v>
      </c>
      <c r="C112" s="8" t="s">
        <v>12</v>
      </c>
      <c r="D112" s="29">
        <v>6709.19</v>
      </c>
      <c r="E112" s="29">
        <v>573.63</v>
      </c>
      <c r="F112" s="28">
        <v>513.29999999999995</v>
      </c>
      <c r="G112" s="28">
        <v>487.62</v>
      </c>
      <c r="H112" s="28">
        <v>380.85</v>
      </c>
      <c r="I112" s="28"/>
      <c r="J112" s="29">
        <f>SUM(D112:I112)</f>
        <v>8664.59</v>
      </c>
      <c r="K112" s="8"/>
      <c r="L112" s="8"/>
    </row>
    <row r="113" spans="1:12">
      <c r="A113" s="8"/>
      <c r="B113" s="8"/>
      <c r="C113" s="8"/>
      <c r="D113" s="20"/>
      <c r="E113" s="20"/>
      <c r="F113" s="15"/>
      <c r="G113" s="15"/>
      <c r="H113" s="15"/>
      <c r="I113" s="15"/>
      <c r="J113" s="20"/>
      <c r="K113" s="8"/>
      <c r="L113" s="8"/>
    </row>
    <row r="114" spans="1:12" ht="15.75" thickBot="1">
      <c r="A114" s="8"/>
      <c r="B114" s="8"/>
      <c r="C114" s="8" t="s">
        <v>10</v>
      </c>
      <c r="D114" s="31">
        <f t="shared" ref="D114:I114" si="16">SUM(D112:D113)</f>
        <v>6709.19</v>
      </c>
      <c r="E114" s="31">
        <f t="shared" si="16"/>
        <v>573.63</v>
      </c>
      <c r="F114" s="30">
        <f t="shared" si="16"/>
        <v>513.29999999999995</v>
      </c>
      <c r="G114" s="30">
        <f t="shared" si="16"/>
        <v>487.62</v>
      </c>
      <c r="H114" s="30">
        <f t="shared" si="16"/>
        <v>380.85</v>
      </c>
      <c r="I114" s="30">
        <f t="shared" si="16"/>
        <v>0</v>
      </c>
      <c r="J114" s="31">
        <f>SUM(D114:I114)</f>
        <v>8664.59</v>
      </c>
      <c r="K114" s="8"/>
      <c r="L114" s="8"/>
    </row>
    <row r="115" spans="1:12" ht="15.75" thickTop="1">
      <c r="A115" s="8"/>
      <c r="B115" s="8"/>
      <c r="C115" s="8"/>
      <c r="D115" s="20"/>
      <c r="E115" s="20"/>
      <c r="F115" s="15"/>
      <c r="G115" s="15"/>
      <c r="H115" s="15"/>
      <c r="I115" s="15"/>
      <c r="J115" s="20"/>
      <c r="K115" s="8"/>
      <c r="L115" s="8"/>
    </row>
    <row r="116" spans="1:12">
      <c r="A116" s="8"/>
      <c r="B116" s="8"/>
      <c r="C116" s="8"/>
      <c r="D116" s="20"/>
      <c r="E116" s="20"/>
      <c r="F116" s="15"/>
      <c r="G116" s="15"/>
      <c r="H116" s="15"/>
      <c r="I116" s="15"/>
      <c r="J116" s="20"/>
      <c r="K116" s="8"/>
      <c r="L116" s="8"/>
    </row>
    <row r="117" spans="1:12">
      <c r="A117" s="8">
        <v>38</v>
      </c>
      <c r="B117" s="8" t="s">
        <v>31</v>
      </c>
      <c r="C117" s="8" t="s">
        <v>12</v>
      </c>
      <c r="D117" s="20">
        <v>6820.06</v>
      </c>
      <c r="E117" s="20">
        <v>2.84</v>
      </c>
      <c r="F117" s="15">
        <v>2.71</v>
      </c>
      <c r="G117" s="15"/>
      <c r="H117" s="15"/>
      <c r="I117" s="15"/>
      <c r="J117" s="20">
        <f>SUM(D117:I117)</f>
        <v>6825.6100000000006</v>
      </c>
      <c r="K117" s="8"/>
      <c r="L117" s="8"/>
    </row>
    <row r="118" spans="1:12">
      <c r="A118" s="8"/>
      <c r="B118" s="8"/>
      <c r="C118" s="8" t="s">
        <v>35</v>
      </c>
      <c r="D118" s="20">
        <v>719.74</v>
      </c>
      <c r="E118" s="20">
        <v>0.39</v>
      </c>
      <c r="F118" s="15">
        <v>0.17</v>
      </c>
      <c r="G118" s="15"/>
      <c r="H118" s="15"/>
      <c r="I118" s="15"/>
      <c r="J118" s="20">
        <f>SUM(D118:I118)</f>
        <v>720.3</v>
      </c>
      <c r="K118" s="8"/>
      <c r="L118" s="8"/>
    </row>
    <row r="119" spans="1:12">
      <c r="A119" s="8"/>
      <c r="B119" s="8"/>
      <c r="C119" s="8" t="s">
        <v>13</v>
      </c>
      <c r="D119" s="20">
        <v>443.88</v>
      </c>
      <c r="E119" s="20">
        <v>0.28000000000000003</v>
      </c>
      <c r="F119" s="15">
        <v>0.31</v>
      </c>
      <c r="G119" s="15"/>
      <c r="H119" s="15"/>
      <c r="I119" s="15"/>
      <c r="J119" s="20">
        <f>SUM(D119:I119)</f>
        <v>444.46999999999997</v>
      </c>
      <c r="K119" s="8"/>
      <c r="L119" s="8"/>
    </row>
    <row r="120" spans="1:12" ht="15.75" thickBot="1">
      <c r="A120" s="8"/>
      <c r="B120" s="8"/>
      <c r="C120" s="8" t="s">
        <v>78</v>
      </c>
      <c r="D120" s="29">
        <v>1102.9000000000001</v>
      </c>
      <c r="E120" s="29">
        <v>0.54</v>
      </c>
      <c r="F120" s="28">
        <v>0.55000000000000004</v>
      </c>
      <c r="G120" s="28"/>
      <c r="H120" s="28"/>
      <c r="I120" s="28"/>
      <c r="J120" s="29">
        <f>SUM(D120:I120)</f>
        <v>1103.99</v>
      </c>
      <c r="K120" s="8"/>
      <c r="L120" s="8"/>
    </row>
    <row r="121" spans="1:12">
      <c r="A121" s="8"/>
      <c r="B121" s="8"/>
      <c r="C121" s="8"/>
      <c r="D121" s="20"/>
      <c r="E121" s="20"/>
      <c r="F121" s="15"/>
      <c r="G121" s="15"/>
      <c r="H121" s="15"/>
      <c r="I121" s="15"/>
      <c r="J121" s="20"/>
      <c r="K121" s="8"/>
      <c r="L121" s="8"/>
    </row>
    <row r="122" spans="1:12" ht="15.75" thickBot="1">
      <c r="A122" s="8"/>
      <c r="B122" s="8"/>
      <c r="C122" s="8" t="s">
        <v>10</v>
      </c>
      <c r="D122" s="31">
        <f t="shared" ref="D122:I122" si="17">SUM(D117:D120)</f>
        <v>9086.58</v>
      </c>
      <c r="E122" s="31">
        <f t="shared" si="17"/>
        <v>4.05</v>
      </c>
      <c r="F122" s="30">
        <f t="shared" si="17"/>
        <v>3.74</v>
      </c>
      <c r="G122" s="30">
        <f t="shared" si="17"/>
        <v>0</v>
      </c>
      <c r="H122" s="30">
        <f t="shared" si="17"/>
        <v>0</v>
      </c>
      <c r="I122" s="30">
        <f t="shared" si="17"/>
        <v>0</v>
      </c>
      <c r="J122" s="31">
        <f>SUM(D122:I122)</f>
        <v>9094.369999999999</v>
      </c>
      <c r="K122" s="8"/>
      <c r="L122" s="8"/>
    </row>
    <row r="123" spans="1:12" ht="15.75" thickTop="1">
      <c r="A123" s="8"/>
      <c r="B123" s="8"/>
      <c r="C123" s="8"/>
      <c r="D123" s="20"/>
      <c r="E123" s="20"/>
      <c r="F123" s="15"/>
      <c r="G123" s="15"/>
      <c r="H123" s="15"/>
      <c r="I123" s="15"/>
      <c r="J123" s="20"/>
      <c r="K123" s="8"/>
      <c r="L123" s="8"/>
    </row>
    <row r="124" spans="1:12">
      <c r="A124" s="8"/>
      <c r="B124" s="8"/>
      <c r="C124" s="8"/>
      <c r="D124" s="20"/>
      <c r="E124" s="20"/>
      <c r="F124" s="15"/>
      <c r="G124" s="15"/>
      <c r="H124" s="15"/>
      <c r="I124" s="15"/>
      <c r="J124" s="20"/>
      <c r="K124" s="8"/>
      <c r="L124" s="8"/>
    </row>
    <row r="125" spans="1:12" ht="15.75" thickBot="1">
      <c r="A125" s="8">
        <v>39</v>
      </c>
      <c r="B125" s="8" t="s">
        <v>32</v>
      </c>
      <c r="C125" s="8" t="s">
        <v>12</v>
      </c>
      <c r="D125" s="29"/>
      <c r="E125" s="29">
        <v>0</v>
      </c>
      <c r="F125" s="28">
        <v>0</v>
      </c>
      <c r="G125" s="28">
        <v>0</v>
      </c>
      <c r="H125" s="28">
        <v>0</v>
      </c>
      <c r="I125" s="28">
        <v>0</v>
      </c>
      <c r="J125" s="29">
        <f>SUM(D125:I125)</f>
        <v>0</v>
      </c>
      <c r="K125" s="8"/>
      <c r="L125" s="8"/>
    </row>
    <row r="126" spans="1:12">
      <c r="A126" s="8"/>
      <c r="B126" s="8"/>
      <c r="C126" s="8"/>
      <c r="D126" s="20"/>
      <c r="E126" s="20"/>
      <c r="F126" s="15"/>
      <c r="G126" s="15"/>
      <c r="H126" s="15"/>
      <c r="I126" s="15"/>
      <c r="J126" s="20"/>
      <c r="K126" s="8"/>
      <c r="L126" s="8"/>
    </row>
    <row r="127" spans="1:12" ht="15.75" thickBot="1">
      <c r="A127" s="8"/>
      <c r="B127" s="8"/>
      <c r="C127" s="8" t="s">
        <v>10</v>
      </c>
      <c r="D127" s="31">
        <f t="shared" ref="D127:J127" si="18">D125</f>
        <v>0</v>
      </c>
      <c r="E127" s="31">
        <f t="shared" si="18"/>
        <v>0</v>
      </c>
      <c r="F127" s="30">
        <f t="shared" si="18"/>
        <v>0</v>
      </c>
      <c r="G127" s="30">
        <f t="shared" si="18"/>
        <v>0</v>
      </c>
      <c r="H127" s="30">
        <f t="shared" si="18"/>
        <v>0</v>
      </c>
      <c r="I127" s="30">
        <f t="shared" si="18"/>
        <v>0</v>
      </c>
      <c r="J127" s="30">
        <f t="shared" si="18"/>
        <v>0</v>
      </c>
      <c r="K127" s="8"/>
      <c r="L127" s="8"/>
    </row>
    <row r="128" spans="1:12" ht="15.75" thickTop="1">
      <c r="A128" s="8"/>
      <c r="B128" s="8"/>
      <c r="C128" s="8"/>
      <c r="D128" s="20"/>
      <c r="E128" s="20"/>
      <c r="F128" s="15"/>
      <c r="G128" s="15"/>
      <c r="H128" s="15"/>
      <c r="I128" s="15"/>
      <c r="J128" s="20"/>
      <c r="K128" s="8"/>
      <c r="L128" s="8"/>
    </row>
    <row r="129" spans="1:12">
      <c r="A129" s="8"/>
      <c r="B129" s="8"/>
      <c r="C129" s="8"/>
      <c r="D129" s="20"/>
      <c r="E129" s="20"/>
      <c r="F129" s="15"/>
      <c r="G129" s="15"/>
      <c r="H129" s="15"/>
      <c r="I129" s="15"/>
      <c r="J129" s="20"/>
      <c r="K129" s="8"/>
      <c r="L129" s="8"/>
    </row>
    <row r="130" spans="1:12" ht="15.75" thickBot="1">
      <c r="A130" s="8">
        <v>40</v>
      </c>
      <c r="B130" s="8" t="s">
        <v>33</v>
      </c>
      <c r="C130" s="8" t="s">
        <v>12</v>
      </c>
      <c r="D130" s="29">
        <v>8727.4699999999993</v>
      </c>
      <c r="E130" s="29">
        <v>206.44</v>
      </c>
      <c r="F130" s="28">
        <v>168.82</v>
      </c>
      <c r="G130" s="28">
        <v>95.37</v>
      </c>
      <c r="H130" s="28">
        <v>97.38</v>
      </c>
      <c r="I130" s="28"/>
      <c r="J130" s="29">
        <f>SUM(D130:I130)</f>
        <v>9295.48</v>
      </c>
      <c r="K130" s="8"/>
      <c r="L130" s="8"/>
    </row>
    <row r="131" spans="1:12">
      <c r="A131" s="8"/>
      <c r="B131" s="8"/>
      <c r="C131" s="8"/>
      <c r="D131" s="20"/>
      <c r="E131" s="20"/>
      <c r="F131" s="15"/>
      <c r="G131" s="15"/>
      <c r="H131" s="15"/>
      <c r="I131" s="15"/>
      <c r="J131" s="20"/>
      <c r="K131" s="8"/>
      <c r="L131" s="8"/>
    </row>
    <row r="132" spans="1:12" ht="15.75" thickBot="1">
      <c r="A132" s="8"/>
      <c r="B132" s="8"/>
      <c r="C132" s="8" t="s">
        <v>10</v>
      </c>
      <c r="D132" s="31">
        <f t="shared" ref="D132:I132" si="19">SUM(D130:D131)</f>
        <v>8727.4699999999993</v>
      </c>
      <c r="E132" s="31">
        <f t="shared" si="19"/>
        <v>206.44</v>
      </c>
      <c r="F132" s="30">
        <f t="shared" si="19"/>
        <v>168.82</v>
      </c>
      <c r="G132" s="30">
        <f t="shared" si="19"/>
        <v>95.37</v>
      </c>
      <c r="H132" s="30">
        <f t="shared" si="19"/>
        <v>97.38</v>
      </c>
      <c r="I132" s="30">
        <f t="shared" si="19"/>
        <v>0</v>
      </c>
      <c r="J132" s="31">
        <f>SUM(D132:I132)</f>
        <v>9295.48</v>
      </c>
      <c r="K132" s="8"/>
      <c r="L132" s="8"/>
    </row>
    <row r="133" spans="1:12" ht="15.75" thickTop="1">
      <c r="A133" s="8"/>
      <c r="B133" s="8"/>
      <c r="C133" s="8"/>
      <c r="D133" s="20"/>
      <c r="E133" s="20"/>
      <c r="F133" s="15"/>
      <c r="G133" s="15"/>
      <c r="H133" s="15"/>
      <c r="I133" s="15"/>
      <c r="J133" s="20"/>
      <c r="K133" s="8"/>
      <c r="L133" s="8"/>
    </row>
    <row r="134" spans="1:12">
      <c r="A134" s="8"/>
      <c r="B134" s="8"/>
      <c r="C134" s="8"/>
      <c r="D134" s="20"/>
      <c r="E134" s="20"/>
      <c r="F134" s="15"/>
      <c r="G134" s="15"/>
      <c r="H134" s="15"/>
      <c r="I134" s="15"/>
      <c r="J134" s="20"/>
      <c r="K134" s="8"/>
      <c r="L134" s="8"/>
    </row>
    <row r="135" spans="1:12">
      <c r="A135" s="8">
        <v>41</v>
      </c>
      <c r="B135" s="8" t="s">
        <v>34</v>
      </c>
      <c r="C135" s="8" t="s">
        <v>12</v>
      </c>
      <c r="D135" s="20">
        <v>7474.31</v>
      </c>
      <c r="E135" s="20">
        <v>320.22000000000003</v>
      </c>
      <c r="F135" s="15"/>
      <c r="G135" s="15"/>
      <c r="H135" s="15"/>
      <c r="I135" s="15"/>
      <c r="J135" s="20">
        <f>SUM(D135:I135)</f>
        <v>7794.5300000000007</v>
      </c>
      <c r="K135" s="8"/>
      <c r="L135" s="8"/>
    </row>
    <row r="136" spans="1:12" ht="15.75" thickBot="1">
      <c r="A136" s="8"/>
      <c r="B136" s="8"/>
      <c r="C136" s="8" t="s">
        <v>35</v>
      </c>
      <c r="D136" s="29">
        <v>290.54000000000002</v>
      </c>
      <c r="E136" s="29">
        <v>13.63</v>
      </c>
      <c r="F136" s="28"/>
      <c r="G136" s="28"/>
      <c r="H136" s="28"/>
      <c r="I136" s="28"/>
      <c r="J136" s="29">
        <f>SUM(D136:I136)</f>
        <v>304.17</v>
      </c>
      <c r="K136" s="8"/>
      <c r="L136" s="8"/>
    </row>
    <row r="137" spans="1:12">
      <c r="A137" s="8"/>
      <c r="B137" s="8"/>
      <c r="C137" s="8"/>
      <c r="D137" s="20"/>
      <c r="E137" s="20"/>
      <c r="F137" s="15"/>
      <c r="G137" s="15"/>
      <c r="H137" s="15"/>
      <c r="I137" s="15"/>
      <c r="J137" s="20"/>
      <c r="K137" s="8"/>
      <c r="L137" s="8"/>
    </row>
    <row r="138" spans="1:12" ht="15.75" thickBot="1">
      <c r="A138" s="8"/>
      <c r="B138" s="8"/>
      <c r="C138" s="8" t="s">
        <v>10</v>
      </c>
      <c r="D138" s="31">
        <f t="shared" ref="D138:I138" si="20">SUM(D135:D136)</f>
        <v>7764.85</v>
      </c>
      <c r="E138" s="31">
        <f t="shared" si="20"/>
        <v>333.85</v>
      </c>
      <c r="F138" s="30">
        <f t="shared" si="20"/>
        <v>0</v>
      </c>
      <c r="G138" s="30">
        <f t="shared" si="20"/>
        <v>0</v>
      </c>
      <c r="H138" s="30">
        <f t="shared" si="20"/>
        <v>0</v>
      </c>
      <c r="I138" s="30">
        <f t="shared" si="20"/>
        <v>0</v>
      </c>
      <c r="J138" s="31">
        <f>SUM(D138:I138)</f>
        <v>8098.7000000000007</v>
      </c>
      <c r="K138" s="8"/>
      <c r="L138" s="8"/>
    </row>
    <row r="139" spans="1:12" ht="15.75" thickTop="1">
      <c r="A139" s="8"/>
      <c r="B139" s="8"/>
      <c r="C139" s="8"/>
      <c r="D139" s="20"/>
      <c r="E139" s="20"/>
      <c r="F139" s="15"/>
      <c r="G139" s="15"/>
      <c r="H139" s="15"/>
      <c r="I139" s="15"/>
      <c r="J139" s="20"/>
      <c r="K139" s="8"/>
      <c r="L139" s="8"/>
    </row>
    <row r="140" spans="1:12">
      <c r="A140" s="8"/>
      <c r="B140" s="8"/>
      <c r="C140" s="8"/>
      <c r="D140" s="20"/>
      <c r="E140" s="20"/>
      <c r="F140" s="15"/>
      <c r="G140" s="15"/>
      <c r="H140" s="15"/>
      <c r="I140" s="15"/>
      <c r="J140" s="20"/>
      <c r="K140" s="8"/>
      <c r="L140" s="8"/>
    </row>
    <row r="141" spans="1:12">
      <c r="A141" s="8">
        <v>42</v>
      </c>
      <c r="B141" s="8" t="s">
        <v>36</v>
      </c>
      <c r="C141" s="8" t="s">
        <v>12</v>
      </c>
      <c r="D141" s="20">
        <v>7103.27</v>
      </c>
      <c r="E141" s="20">
        <v>293.69</v>
      </c>
      <c r="F141" s="15">
        <v>266.95</v>
      </c>
      <c r="G141" s="15">
        <v>133.78</v>
      </c>
      <c r="H141" s="15"/>
      <c r="I141" s="15"/>
      <c r="J141" s="20">
        <f>SUM(D141:I141)</f>
        <v>7797.69</v>
      </c>
      <c r="K141" s="8"/>
      <c r="L141" s="8"/>
    </row>
    <row r="142" spans="1:12" ht="15.75" thickBot="1">
      <c r="A142" s="8"/>
      <c r="B142" s="8"/>
      <c r="C142" s="8" t="s">
        <v>13</v>
      </c>
      <c r="D142" s="29">
        <v>322.52</v>
      </c>
      <c r="E142" s="29">
        <v>18.53</v>
      </c>
      <c r="F142" s="28">
        <v>9.69</v>
      </c>
      <c r="G142" s="28">
        <v>6.64</v>
      </c>
      <c r="H142" s="28"/>
      <c r="I142" s="28"/>
      <c r="J142" s="29">
        <f>SUM(D142:I142)</f>
        <v>357.37999999999994</v>
      </c>
      <c r="K142" s="8"/>
      <c r="L142" s="8"/>
    </row>
    <row r="143" spans="1:12">
      <c r="A143" s="8"/>
      <c r="B143" s="8"/>
      <c r="C143" s="8"/>
      <c r="D143" s="20"/>
      <c r="E143" s="20"/>
      <c r="F143" s="15"/>
      <c r="G143" s="15"/>
      <c r="H143" s="15"/>
      <c r="I143" s="15"/>
      <c r="J143" s="20"/>
      <c r="K143" s="8"/>
      <c r="L143" s="8"/>
    </row>
    <row r="144" spans="1:12" ht="15.75" thickBot="1">
      <c r="A144" s="8"/>
      <c r="B144" s="8"/>
      <c r="C144" s="8" t="s">
        <v>10</v>
      </c>
      <c r="D144" s="31">
        <f t="shared" ref="D144:I144" si="21">SUM(D141:D142)</f>
        <v>7425.7900000000009</v>
      </c>
      <c r="E144" s="31">
        <f t="shared" si="21"/>
        <v>312.22000000000003</v>
      </c>
      <c r="F144" s="30">
        <f t="shared" si="21"/>
        <v>276.64</v>
      </c>
      <c r="G144" s="30">
        <f t="shared" si="21"/>
        <v>140.41999999999999</v>
      </c>
      <c r="H144" s="30">
        <f t="shared" si="21"/>
        <v>0</v>
      </c>
      <c r="I144" s="30">
        <f t="shared" si="21"/>
        <v>0</v>
      </c>
      <c r="J144" s="31">
        <f>SUM(D144:I144)</f>
        <v>8155.0700000000015</v>
      </c>
      <c r="K144" s="8"/>
      <c r="L144" s="8"/>
    </row>
    <row r="145" spans="1:12" ht="15.75" thickTop="1">
      <c r="A145" s="8"/>
      <c r="B145" s="8"/>
      <c r="C145" s="8"/>
      <c r="D145" s="20"/>
      <c r="E145" s="20"/>
      <c r="F145" s="15"/>
      <c r="G145" s="15"/>
      <c r="H145" s="15"/>
      <c r="I145" s="15"/>
      <c r="J145" s="20"/>
      <c r="K145" s="8"/>
      <c r="L145" s="8"/>
    </row>
    <row r="146" spans="1:12">
      <c r="A146" s="8"/>
      <c r="B146" s="8"/>
      <c r="C146" s="8"/>
      <c r="D146" s="20"/>
      <c r="E146" s="20"/>
      <c r="F146" s="15"/>
      <c r="G146" s="15"/>
      <c r="H146" s="15"/>
      <c r="I146" s="15"/>
      <c r="J146" s="20"/>
      <c r="K146" s="8"/>
      <c r="L146" s="8"/>
    </row>
    <row r="147" spans="1:12">
      <c r="A147" s="8">
        <v>43</v>
      </c>
      <c r="B147" s="8" t="s">
        <v>37</v>
      </c>
      <c r="C147" s="8" t="s">
        <v>12</v>
      </c>
      <c r="D147" s="20">
        <v>9816.26</v>
      </c>
      <c r="E147" s="20"/>
      <c r="F147" s="15"/>
      <c r="G147" s="15"/>
      <c r="H147" s="15"/>
      <c r="I147" s="15"/>
      <c r="J147" s="20">
        <f>SUM(D147:I147)</f>
        <v>9816.26</v>
      </c>
      <c r="K147" s="8"/>
      <c r="L147" s="8"/>
    </row>
    <row r="148" spans="1:12">
      <c r="A148" s="8"/>
      <c r="B148" s="8"/>
      <c r="C148" s="8" t="s">
        <v>35</v>
      </c>
      <c r="D148" s="20">
        <v>545.21</v>
      </c>
      <c r="E148" s="20"/>
      <c r="F148" s="15"/>
      <c r="G148" s="15"/>
      <c r="H148" s="15"/>
      <c r="I148" s="15"/>
      <c r="J148" s="20">
        <f>SUM(D148:I148)</f>
        <v>545.21</v>
      </c>
      <c r="K148" s="8"/>
      <c r="L148" s="8"/>
    </row>
    <row r="149" spans="1:12">
      <c r="A149" s="8"/>
      <c r="B149" s="8"/>
      <c r="C149" s="8" t="s">
        <v>13</v>
      </c>
      <c r="D149" s="20">
        <v>518.04</v>
      </c>
      <c r="E149" s="20"/>
      <c r="F149" s="15"/>
      <c r="G149" s="15"/>
      <c r="H149" s="15"/>
      <c r="I149" s="15"/>
      <c r="J149" s="20">
        <f>SUM(D149:I149)</f>
        <v>518.04</v>
      </c>
      <c r="K149" s="8"/>
      <c r="L149" s="8"/>
    </row>
    <row r="150" spans="1:12" ht="15.75" thickBot="1">
      <c r="A150" s="8"/>
      <c r="B150" s="8"/>
      <c r="C150" s="8" t="s">
        <v>78</v>
      </c>
      <c r="D150" s="29">
        <v>1635.87</v>
      </c>
      <c r="E150" s="29"/>
      <c r="F150" s="28"/>
      <c r="G150" s="28"/>
      <c r="H150" s="28"/>
      <c r="I150" s="28"/>
      <c r="J150" s="29">
        <f>SUM(D150:I150)</f>
        <v>1635.87</v>
      </c>
      <c r="K150" s="8"/>
      <c r="L150" s="8"/>
    </row>
    <row r="151" spans="1:12">
      <c r="A151" s="8"/>
      <c r="B151" s="8"/>
      <c r="C151" s="8"/>
      <c r="D151" s="20"/>
      <c r="E151" s="20"/>
      <c r="F151" s="15"/>
      <c r="G151" s="15"/>
      <c r="H151" s="15"/>
      <c r="I151" s="15"/>
      <c r="J151" s="20"/>
      <c r="K151" s="8"/>
      <c r="L151" s="8"/>
    </row>
    <row r="152" spans="1:12" ht="15.75" thickBot="1">
      <c r="A152" s="8"/>
      <c r="B152" s="8"/>
      <c r="C152" s="8" t="s">
        <v>10</v>
      </c>
      <c r="D152" s="31">
        <f t="shared" ref="D152:I152" si="22">SUM(D147:D150)</f>
        <v>12515.380000000001</v>
      </c>
      <c r="E152" s="31">
        <f t="shared" si="22"/>
        <v>0</v>
      </c>
      <c r="F152" s="30">
        <f t="shared" si="22"/>
        <v>0</v>
      </c>
      <c r="G152" s="30">
        <f t="shared" si="22"/>
        <v>0</v>
      </c>
      <c r="H152" s="30">
        <f t="shared" si="22"/>
        <v>0</v>
      </c>
      <c r="I152" s="30">
        <f t="shared" si="22"/>
        <v>0</v>
      </c>
      <c r="J152" s="31">
        <f>SUM(D152:I152)</f>
        <v>12515.380000000001</v>
      </c>
      <c r="K152" s="8"/>
      <c r="L152" s="8"/>
    </row>
    <row r="153" spans="1:12" ht="15.75" thickTop="1">
      <c r="A153" s="8"/>
      <c r="B153" s="8"/>
      <c r="C153" s="8"/>
      <c r="D153" s="20"/>
      <c r="E153" s="20"/>
      <c r="F153" s="15"/>
      <c r="G153" s="15"/>
      <c r="H153" s="15"/>
      <c r="I153" s="15"/>
      <c r="J153" s="20"/>
      <c r="K153" s="8"/>
      <c r="L153" s="8"/>
    </row>
    <row r="154" spans="1:12">
      <c r="A154" s="8"/>
      <c r="B154" s="8"/>
      <c r="C154" s="8"/>
      <c r="D154" s="20"/>
      <c r="E154" s="20"/>
      <c r="F154" s="15"/>
      <c r="G154" s="15"/>
      <c r="H154" s="15"/>
      <c r="I154" s="15"/>
      <c r="J154" s="20"/>
      <c r="K154" s="8"/>
      <c r="L154" s="8"/>
    </row>
    <row r="155" spans="1:12" ht="15.75" thickBot="1">
      <c r="A155" s="8">
        <v>44</v>
      </c>
      <c r="B155" s="8" t="s">
        <v>38</v>
      </c>
      <c r="C155" s="8" t="s">
        <v>12</v>
      </c>
      <c r="D155" s="29">
        <v>12276.64</v>
      </c>
      <c r="E155" s="29">
        <v>291.67</v>
      </c>
      <c r="F155" s="28"/>
      <c r="G155" s="28"/>
      <c r="H155" s="28"/>
      <c r="I155" s="28"/>
      <c r="J155" s="29">
        <f>SUM(D155:I155)</f>
        <v>12568.31</v>
      </c>
      <c r="K155" s="8"/>
      <c r="L155" s="8"/>
    </row>
    <row r="156" spans="1:12">
      <c r="A156" s="8"/>
      <c r="B156" s="8"/>
      <c r="C156" s="8"/>
      <c r="D156" s="20"/>
      <c r="E156" s="20"/>
      <c r="F156" s="15"/>
      <c r="G156" s="15"/>
      <c r="H156" s="15"/>
      <c r="I156" s="15"/>
      <c r="J156" s="20"/>
      <c r="K156" s="8"/>
      <c r="L156" s="8"/>
    </row>
    <row r="157" spans="1:12" ht="15.75" thickBot="1">
      <c r="A157" s="8"/>
      <c r="B157" s="8"/>
      <c r="C157" s="8" t="s">
        <v>10</v>
      </c>
      <c r="D157" s="31">
        <f t="shared" ref="D157:I157" si="23">SUM(D155:D156)</f>
        <v>12276.64</v>
      </c>
      <c r="E157" s="31">
        <f t="shared" si="23"/>
        <v>291.67</v>
      </c>
      <c r="F157" s="30">
        <f t="shared" si="23"/>
        <v>0</v>
      </c>
      <c r="G157" s="30">
        <f t="shared" si="23"/>
        <v>0</v>
      </c>
      <c r="H157" s="30">
        <f t="shared" si="23"/>
        <v>0</v>
      </c>
      <c r="I157" s="30">
        <f t="shared" si="23"/>
        <v>0</v>
      </c>
      <c r="J157" s="31">
        <f>SUM(D157:I157)</f>
        <v>12568.31</v>
      </c>
      <c r="K157" s="8"/>
      <c r="L157" s="8"/>
    </row>
    <row r="158" spans="1:12" ht="15.75" thickTop="1">
      <c r="A158" s="8"/>
      <c r="B158" s="8"/>
      <c r="C158" s="8"/>
      <c r="D158" s="20"/>
      <c r="E158" s="20"/>
      <c r="F158" s="15"/>
      <c r="G158" s="15" t="s">
        <v>70</v>
      </c>
      <c r="H158" s="15" t="s">
        <v>70</v>
      </c>
      <c r="I158" s="15" t="s">
        <v>70</v>
      </c>
      <c r="J158" s="20"/>
      <c r="K158" s="8"/>
      <c r="L158" s="8"/>
    </row>
    <row r="159" spans="1:12">
      <c r="A159" s="8"/>
      <c r="B159" s="8"/>
      <c r="C159" s="8"/>
      <c r="D159" s="20"/>
      <c r="E159" s="20"/>
      <c r="F159" s="15"/>
      <c r="G159" s="15"/>
      <c r="H159" s="15"/>
      <c r="I159" s="15"/>
      <c r="J159" s="20"/>
      <c r="K159" s="8"/>
      <c r="L159" s="8"/>
    </row>
    <row r="160" spans="1:12" ht="15.75" thickBot="1">
      <c r="A160" s="8">
        <v>45</v>
      </c>
      <c r="B160" s="8" t="s">
        <v>39</v>
      </c>
      <c r="C160" s="8" t="s">
        <v>12</v>
      </c>
      <c r="D160" s="29">
        <v>6268.46</v>
      </c>
      <c r="E160" s="29">
        <v>314.55</v>
      </c>
      <c r="F160" s="28">
        <v>164.27</v>
      </c>
      <c r="G160" s="28">
        <v>88.35</v>
      </c>
      <c r="H160" s="28"/>
      <c r="I160" s="28"/>
      <c r="J160" s="29">
        <f>SUM(D160:I160)</f>
        <v>6835.630000000001</v>
      </c>
      <c r="K160" s="8"/>
      <c r="L160" s="8"/>
    </row>
    <row r="161" spans="1:12">
      <c r="A161" s="8"/>
      <c r="B161" s="8"/>
      <c r="C161" s="8"/>
      <c r="D161" s="20"/>
      <c r="E161" s="20"/>
      <c r="F161" s="15"/>
      <c r="G161" s="15"/>
      <c r="H161" s="15"/>
      <c r="I161" s="15"/>
      <c r="J161" s="20"/>
      <c r="K161" s="8"/>
      <c r="L161" s="8"/>
    </row>
    <row r="162" spans="1:12" ht="15.75" thickBot="1">
      <c r="A162" s="8"/>
      <c r="B162" s="8"/>
      <c r="C162" s="8" t="s">
        <v>10</v>
      </c>
      <c r="D162" s="31">
        <f t="shared" ref="D162:I162" si="24">SUM(D160:D161)</f>
        <v>6268.46</v>
      </c>
      <c r="E162" s="31">
        <f t="shared" si="24"/>
        <v>314.55</v>
      </c>
      <c r="F162" s="30">
        <f t="shared" si="24"/>
        <v>164.27</v>
      </c>
      <c r="G162" s="30">
        <f t="shared" si="24"/>
        <v>88.35</v>
      </c>
      <c r="H162" s="30">
        <f t="shared" si="24"/>
        <v>0</v>
      </c>
      <c r="I162" s="30">
        <f t="shared" si="24"/>
        <v>0</v>
      </c>
      <c r="J162" s="31">
        <f>SUM(D162:I162)</f>
        <v>6835.630000000001</v>
      </c>
      <c r="K162" s="8"/>
      <c r="L162" s="8"/>
    </row>
    <row r="163" spans="1:12" ht="15.75" thickTop="1">
      <c r="A163" s="8"/>
      <c r="B163" s="8"/>
      <c r="C163" s="8"/>
      <c r="D163" s="20"/>
      <c r="E163" s="20"/>
      <c r="F163" s="15"/>
      <c r="G163" s="15"/>
      <c r="H163" s="15"/>
      <c r="I163" s="15"/>
      <c r="J163" s="20"/>
      <c r="K163" s="8"/>
      <c r="L163" s="8"/>
    </row>
    <row r="164" spans="1:12">
      <c r="A164" s="8"/>
      <c r="B164" s="8"/>
      <c r="C164" s="8"/>
      <c r="D164" s="20"/>
      <c r="E164" s="20"/>
      <c r="F164" s="15"/>
      <c r="G164" s="15"/>
      <c r="H164" s="15"/>
      <c r="I164" s="15"/>
      <c r="J164" s="20"/>
      <c r="K164" s="8"/>
      <c r="L164" s="8"/>
    </row>
    <row r="165" spans="1:12" ht="15.75" thickBot="1">
      <c r="A165" s="8">
        <v>46</v>
      </c>
      <c r="B165" s="8" t="s">
        <v>40</v>
      </c>
      <c r="C165" s="8" t="s">
        <v>12</v>
      </c>
      <c r="D165" s="29">
        <v>5813.96</v>
      </c>
      <c r="E165" s="29">
        <v>79.180000000000007</v>
      </c>
      <c r="F165" s="28"/>
      <c r="G165" s="28"/>
      <c r="H165" s="28"/>
      <c r="I165" s="28"/>
      <c r="J165" s="29">
        <f>SUM(D165:I165)</f>
        <v>5893.14</v>
      </c>
      <c r="K165" s="8"/>
      <c r="L165" s="8"/>
    </row>
    <row r="166" spans="1:12">
      <c r="A166" s="8"/>
      <c r="B166" s="8"/>
      <c r="C166" s="8"/>
      <c r="D166" s="20"/>
      <c r="E166" s="20"/>
      <c r="F166" s="15"/>
      <c r="G166" s="15"/>
      <c r="H166" s="15"/>
      <c r="I166" s="15"/>
      <c r="J166" s="20"/>
      <c r="K166" s="8"/>
      <c r="L166" s="8"/>
    </row>
    <row r="167" spans="1:12" ht="15.75" thickBot="1">
      <c r="A167" s="8"/>
      <c r="B167" s="8"/>
      <c r="C167" s="8" t="s">
        <v>10</v>
      </c>
      <c r="D167" s="31">
        <f t="shared" ref="D167:I167" si="25">SUM(D165:D166)</f>
        <v>5813.96</v>
      </c>
      <c r="E167" s="31">
        <f t="shared" si="25"/>
        <v>79.180000000000007</v>
      </c>
      <c r="F167" s="30">
        <f t="shared" si="25"/>
        <v>0</v>
      </c>
      <c r="G167" s="30">
        <f t="shared" si="25"/>
        <v>0</v>
      </c>
      <c r="H167" s="30">
        <f t="shared" si="25"/>
        <v>0</v>
      </c>
      <c r="I167" s="30">
        <f t="shared" si="25"/>
        <v>0</v>
      </c>
      <c r="J167" s="31">
        <f>SUM(D167:I167)</f>
        <v>5893.14</v>
      </c>
      <c r="K167" s="8"/>
      <c r="L167" s="8"/>
    </row>
    <row r="168" spans="1:12" ht="15.75" thickTop="1">
      <c r="A168" s="8"/>
      <c r="B168" s="8"/>
      <c r="C168" s="8"/>
      <c r="D168" s="20"/>
      <c r="E168" s="20"/>
      <c r="F168" s="15"/>
      <c r="G168" s="15"/>
      <c r="H168" s="15"/>
      <c r="I168" s="15"/>
      <c r="J168" s="20"/>
      <c r="K168" s="8"/>
      <c r="L168" s="8"/>
    </row>
    <row r="169" spans="1:12">
      <c r="A169" s="8"/>
      <c r="B169" s="8"/>
      <c r="C169" s="8"/>
      <c r="D169" s="20"/>
      <c r="E169" s="20"/>
      <c r="F169" s="15"/>
      <c r="G169" s="15"/>
      <c r="H169" s="15"/>
      <c r="I169" s="15"/>
      <c r="J169" s="20"/>
      <c r="K169" s="8"/>
      <c r="L169" s="8"/>
    </row>
    <row r="170" spans="1:12" ht="15.75" thickBot="1">
      <c r="A170" s="8">
        <v>47</v>
      </c>
      <c r="B170" s="8" t="s">
        <v>41</v>
      </c>
      <c r="C170" s="8" t="s">
        <v>12</v>
      </c>
      <c r="D170" s="29">
        <v>6321.6</v>
      </c>
      <c r="E170" s="29">
        <v>443.57</v>
      </c>
      <c r="F170" s="28">
        <v>330.71</v>
      </c>
      <c r="G170" s="28"/>
      <c r="H170" s="28"/>
      <c r="I170" s="28"/>
      <c r="J170" s="29">
        <f>SUM(D170:I170)</f>
        <v>7095.88</v>
      </c>
      <c r="K170" s="8"/>
      <c r="L170" s="8"/>
    </row>
    <row r="171" spans="1:12">
      <c r="A171" s="8"/>
      <c r="B171" s="8"/>
      <c r="C171" s="8"/>
      <c r="D171" s="20"/>
      <c r="E171" s="20"/>
      <c r="F171" s="15"/>
      <c r="G171" s="15"/>
      <c r="H171" s="15"/>
      <c r="I171" s="15"/>
      <c r="J171" s="20"/>
      <c r="K171" s="8"/>
      <c r="L171" s="8"/>
    </row>
    <row r="172" spans="1:12" ht="15.75" thickBot="1">
      <c r="A172" s="8"/>
      <c r="B172" s="8"/>
      <c r="C172" s="8" t="s">
        <v>10</v>
      </c>
      <c r="D172" s="31">
        <f t="shared" ref="D172:I172" si="26">SUM(D170:D171)</f>
        <v>6321.6</v>
      </c>
      <c r="E172" s="31">
        <f t="shared" si="26"/>
        <v>443.57</v>
      </c>
      <c r="F172" s="30">
        <f t="shared" si="26"/>
        <v>330.71</v>
      </c>
      <c r="G172" s="30">
        <f t="shared" si="26"/>
        <v>0</v>
      </c>
      <c r="H172" s="30">
        <f t="shared" si="26"/>
        <v>0</v>
      </c>
      <c r="I172" s="30">
        <f t="shared" si="26"/>
        <v>0</v>
      </c>
      <c r="J172" s="31">
        <f>SUM(D172:I172)</f>
        <v>7095.88</v>
      </c>
      <c r="K172" s="8"/>
      <c r="L172" s="8"/>
    </row>
    <row r="173" spans="1:12" ht="15.75" thickTop="1">
      <c r="A173" s="8"/>
      <c r="B173" s="8"/>
      <c r="C173" s="8"/>
      <c r="D173" s="20"/>
      <c r="E173" s="20"/>
      <c r="F173" s="15"/>
      <c r="G173" s="15"/>
      <c r="H173" s="15"/>
      <c r="I173" s="15"/>
      <c r="J173" s="20"/>
      <c r="K173" s="8"/>
      <c r="L173" s="8"/>
    </row>
    <row r="174" spans="1:12">
      <c r="A174" s="8"/>
      <c r="B174" s="8"/>
      <c r="C174" s="8"/>
      <c r="D174" s="20"/>
      <c r="E174" s="20"/>
      <c r="F174" s="15"/>
      <c r="G174" s="15"/>
      <c r="H174" s="15"/>
      <c r="I174" s="15"/>
      <c r="J174" s="20"/>
      <c r="K174" s="8"/>
      <c r="L174" s="8"/>
    </row>
    <row r="175" spans="1:12" ht="15.75" thickBot="1">
      <c r="A175" s="8">
        <v>48</v>
      </c>
      <c r="B175" s="8" t="s">
        <v>42</v>
      </c>
      <c r="C175" s="8" t="s">
        <v>12</v>
      </c>
      <c r="D175" s="29">
        <v>10505.5</v>
      </c>
      <c r="E175" s="29">
        <v>322.14999999999998</v>
      </c>
      <c r="F175" s="28">
        <v>194.99</v>
      </c>
      <c r="G175" s="28"/>
      <c r="H175" s="28"/>
      <c r="I175" s="28"/>
      <c r="J175" s="29">
        <f>SUM(D175:I175)</f>
        <v>11022.64</v>
      </c>
      <c r="K175" s="8"/>
      <c r="L175" s="8"/>
    </row>
    <row r="176" spans="1:12">
      <c r="A176" s="8"/>
      <c r="B176" s="8"/>
      <c r="C176" s="8"/>
      <c r="D176" s="20"/>
      <c r="E176" s="20"/>
      <c r="F176" s="15"/>
      <c r="G176" s="15"/>
      <c r="H176" s="15"/>
      <c r="I176" s="15"/>
      <c r="J176" s="20"/>
      <c r="K176" s="8"/>
      <c r="L176" s="8"/>
    </row>
    <row r="177" spans="1:12" ht="15.75" thickBot="1">
      <c r="A177" s="8"/>
      <c r="B177" s="8"/>
      <c r="C177" s="8"/>
      <c r="D177" s="31">
        <f t="shared" ref="D177:I177" si="27">SUM(D175:D176)</f>
        <v>10505.5</v>
      </c>
      <c r="E177" s="31">
        <f t="shared" si="27"/>
        <v>322.14999999999998</v>
      </c>
      <c r="F177" s="30">
        <f t="shared" si="27"/>
        <v>194.99</v>
      </c>
      <c r="G177" s="30">
        <f t="shared" si="27"/>
        <v>0</v>
      </c>
      <c r="H177" s="30">
        <f t="shared" si="27"/>
        <v>0</v>
      </c>
      <c r="I177" s="30">
        <f t="shared" si="27"/>
        <v>0</v>
      </c>
      <c r="J177" s="31">
        <f>SUM(D177:I177)</f>
        <v>11022.64</v>
      </c>
      <c r="K177" s="8"/>
      <c r="L177" s="8"/>
    </row>
    <row r="178" spans="1:12" ht="15.75" thickTop="1">
      <c r="A178" s="8"/>
      <c r="B178" s="8"/>
      <c r="C178" s="8"/>
      <c r="D178" s="20"/>
      <c r="E178" s="20"/>
      <c r="F178" s="15"/>
      <c r="G178" s="15"/>
      <c r="H178" s="15"/>
      <c r="I178" s="15"/>
      <c r="J178" s="20"/>
      <c r="K178" s="8"/>
      <c r="L178" s="8"/>
    </row>
    <row r="179" spans="1:12">
      <c r="A179" s="8"/>
      <c r="B179" s="8"/>
      <c r="C179" s="8"/>
      <c r="D179" s="20"/>
      <c r="E179" s="20"/>
      <c r="F179" s="15"/>
      <c r="G179" s="15"/>
      <c r="H179" s="15"/>
      <c r="I179" s="15"/>
      <c r="J179" s="20"/>
      <c r="K179" s="8"/>
      <c r="L179" s="8"/>
    </row>
    <row r="180" spans="1:12" ht="15.75" thickBot="1">
      <c r="A180" s="8">
        <v>49</v>
      </c>
      <c r="B180" s="8" t="s">
        <v>43</v>
      </c>
      <c r="C180" s="8" t="s">
        <v>12</v>
      </c>
      <c r="D180" s="29">
        <v>13365.45</v>
      </c>
      <c r="E180" s="29">
        <v>522.11</v>
      </c>
      <c r="F180" s="28">
        <v>345.83</v>
      </c>
      <c r="G180" s="28">
        <v>334.05</v>
      </c>
      <c r="H180" s="28">
        <v>289.8</v>
      </c>
      <c r="I180" s="28"/>
      <c r="J180" s="29">
        <f>SUM(D180:I180)</f>
        <v>14857.24</v>
      </c>
      <c r="K180" s="8"/>
      <c r="L180" s="8"/>
    </row>
    <row r="181" spans="1:12">
      <c r="A181" s="8"/>
      <c r="B181" s="8"/>
      <c r="C181" s="8"/>
      <c r="D181" s="20"/>
      <c r="E181" s="20"/>
      <c r="F181" s="15"/>
      <c r="G181" s="15"/>
      <c r="H181" s="15"/>
      <c r="I181" s="15"/>
      <c r="J181" s="20"/>
      <c r="K181" s="8"/>
      <c r="L181" s="8"/>
    </row>
    <row r="182" spans="1:12" ht="15.75" thickBot="1">
      <c r="A182" s="8"/>
      <c r="B182" s="8"/>
      <c r="C182" s="8" t="s">
        <v>10</v>
      </c>
      <c r="D182" s="31">
        <f t="shared" ref="D182:I182" si="28">SUM(D180:D181)</f>
        <v>13365.45</v>
      </c>
      <c r="E182" s="31">
        <f t="shared" si="28"/>
        <v>522.11</v>
      </c>
      <c r="F182" s="30">
        <f t="shared" si="28"/>
        <v>345.83</v>
      </c>
      <c r="G182" s="30">
        <f t="shared" si="28"/>
        <v>334.05</v>
      </c>
      <c r="H182" s="30">
        <f t="shared" si="28"/>
        <v>289.8</v>
      </c>
      <c r="I182" s="30">
        <f t="shared" si="28"/>
        <v>0</v>
      </c>
      <c r="J182" s="31">
        <f>SUM(D182:I182)</f>
        <v>14857.24</v>
      </c>
      <c r="K182" s="8"/>
      <c r="L182" s="8"/>
    </row>
    <row r="183" spans="1:12" ht="15.75" thickTop="1">
      <c r="A183" s="8"/>
      <c r="B183" s="8"/>
      <c r="C183" s="8"/>
      <c r="D183" s="20"/>
      <c r="E183" s="20"/>
      <c r="F183" s="15"/>
      <c r="G183" s="15"/>
      <c r="H183" s="15"/>
      <c r="I183" s="15"/>
      <c r="J183" s="20"/>
      <c r="K183" s="8"/>
      <c r="L183" s="8"/>
    </row>
    <row r="184" spans="1:12">
      <c r="A184" s="8"/>
      <c r="B184" s="8"/>
      <c r="C184" s="8"/>
      <c r="D184" s="20"/>
      <c r="E184" s="20"/>
      <c r="F184" s="15"/>
      <c r="G184" s="15"/>
      <c r="H184" s="15"/>
      <c r="I184" s="15"/>
      <c r="J184" s="20"/>
      <c r="K184" s="8"/>
      <c r="L184" s="8"/>
    </row>
    <row r="185" spans="1:12">
      <c r="A185" s="8">
        <v>50</v>
      </c>
      <c r="B185" s="8" t="s">
        <v>44</v>
      </c>
      <c r="C185" s="8" t="s">
        <v>12</v>
      </c>
      <c r="D185" s="20">
        <v>3818.44</v>
      </c>
      <c r="E185" s="20">
        <v>43.26</v>
      </c>
      <c r="F185" s="15"/>
      <c r="G185" s="15"/>
      <c r="H185" s="15"/>
      <c r="I185" s="15"/>
      <c r="J185" s="20">
        <f>SUM(D185:I185)</f>
        <v>3861.7000000000003</v>
      </c>
      <c r="K185" s="8"/>
      <c r="L185" s="8"/>
    </row>
    <row r="186" spans="1:12" ht="15.75" thickBot="1">
      <c r="A186" s="8"/>
      <c r="B186" s="8"/>
      <c r="C186" s="8" t="s">
        <v>13</v>
      </c>
      <c r="D186" s="29">
        <v>94.66</v>
      </c>
      <c r="E186" s="29">
        <v>0.96</v>
      </c>
      <c r="F186" s="28"/>
      <c r="G186" s="28"/>
      <c r="H186" s="28"/>
      <c r="I186" s="28"/>
      <c r="J186" s="29">
        <f>SUM(D186:I186)</f>
        <v>95.61999999999999</v>
      </c>
      <c r="K186" s="8"/>
      <c r="L186" s="8"/>
    </row>
    <row r="187" spans="1:12">
      <c r="A187" s="8"/>
      <c r="B187" s="8"/>
      <c r="C187" s="8"/>
      <c r="D187" s="20"/>
      <c r="E187" s="20"/>
      <c r="F187" s="15"/>
      <c r="G187" s="15"/>
      <c r="H187" s="15"/>
      <c r="I187" s="15"/>
      <c r="J187" s="20"/>
      <c r="K187" s="8"/>
      <c r="L187" s="8"/>
    </row>
    <row r="188" spans="1:12" ht="15.75" thickBot="1">
      <c r="A188" s="8"/>
      <c r="B188" s="8"/>
      <c r="C188" s="8" t="s">
        <v>10</v>
      </c>
      <c r="D188" s="31">
        <f t="shared" ref="D188:I188" si="29">SUM(D185:D186)</f>
        <v>3913.1</v>
      </c>
      <c r="E188" s="31">
        <f t="shared" si="29"/>
        <v>44.22</v>
      </c>
      <c r="F188" s="30">
        <f t="shared" si="29"/>
        <v>0</v>
      </c>
      <c r="G188" s="30">
        <f t="shared" si="29"/>
        <v>0</v>
      </c>
      <c r="H188" s="30">
        <f t="shared" si="29"/>
        <v>0</v>
      </c>
      <c r="I188" s="30">
        <f t="shared" si="29"/>
        <v>0</v>
      </c>
      <c r="J188" s="31">
        <f>SUM(D188:I188)</f>
        <v>3957.3199999999997</v>
      </c>
      <c r="K188" s="8"/>
      <c r="L188" s="8"/>
    </row>
    <row r="189" spans="1:12" ht="15.75" thickTop="1">
      <c r="A189" s="8"/>
      <c r="B189" s="8"/>
      <c r="C189" s="8"/>
      <c r="D189" s="20"/>
      <c r="E189" s="20"/>
      <c r="F189" s="15"/>
      <c r="G189" s="15"/>
      <c r="H189" s="15"/>
      <c r="I189" s="15"/>
      <c r="J189" s="20"/>
      <c r="K189" s="8"/>
      <c r="L189" s="8"/>
    </row>
    <row r="190" spans="1:12">
      <c r="A190" s="8"/>
      <c r="B190" s="8"/>
      <c r="C190" s="8"/>
      <c r="D190" s="20"/>
      <c r="E190" s="20"/>
      <c r="F190" s="15"/>
      <c r="G190" s="15"/>
      <c r="H190" s="15"/>
      <c r="I190" s="15"/>
      <c r="J190" s="20"/>
      <c r="K190" s="8"/>
      <c r="L190" s="8"/>
    </row>
    <row r="191" spans="1:12">
      <c r="A191" s="8">
        <v>51</v>
      </c>
      <c r="B191" s="8" t="s">
        <v>45</v>
      </c>
      <c r="C191" s="8" t="s">
        <v>12</v>
      </c>
      <c r="D191" s="20">
        <v>12346.16</v>
      </c>
      <c r="E191" s="20">
        <v>495.91</v>
      </c>
      <c r="F191" s="15">
        <v>350.95</v>
      </c>
      <c r="G191" s="15"/>
      <c r="H191" s="15"/>
      <c r="I191" s="15"/>
      <c r="J191" s="20">
        <f>SUM(D191:I191)</f>
        <v>13193.02</v>
      </c>
      <c r="K191" s="8"/>
      <c r="L191" s="8"/>
    </row>
    <row r="192" spans="1:12">
      <c r="A192" s="8"/>
      <c r="B192" s="8"/>
      <c r="C192" s="8" t="s">
        <v>13</v>
      </c>
      <c r="D192" s="20"/>
      <c r="E192" s="20"/>
      <c r="F192" s="15"/>
      <c r="G192" s="15"/>
      <c r="H192" s="15"/>
      <c r="I192" s="15"/>
      <c r="J192" s="20">
        <f>SUM(D192:I192)</f>
        <v>0</v>
      </c>
      <c r="K192" s="8"/>
      <c r="L192" s="8"/>
    </row>
    <row r="193" spans="1:12" ht="15.75" thickBot="1">
      <c r="A193" s="8"/>
      <c r="B193" s="8"/>
      <c r="C193" s="8" t="s">
        <v>46</v>
      </c>
      <c r="D193" s="29">
        <v>245.71</v>
      </c>
      <c r="E193" s="29">
        <v>10.07</v>
      </c>
      <c r="F193" s="28">
        <v>7.14</v>
      </c>
      <c r="G193" s="28"/>
      <c r="H193" s="28"/>
      <c r="I193" s="28"/>
      <c r="J193" s="29">
        <f>SUM(D193:I193)</f>
        <v>262.92</v>
      </c>
      <c r="K193" s="8"/>
      <c r="L193" s="8"/>
    </row>
    <row r="194" spans="1:12">
      <c r="A194" s="8"/>
      <c r="B194" s="8"/>
      <c r="C194" s="8"/>
      <c r="D194" s="20"/>
      <c r="E194" s="20"/>
      <c r="F194" s="15"/>
      <c r="G194" s="15"/>
      <c r="H194" s="15"/>
      <c r="I194" s="15"/>
      <c r="J194" s="20"/>
      <c r="K194" s="8"/>
      <c r="L194" s="8"/>
    </row>
    <row r="195" spans="1:12" ht="15.75" thickBot="1">
      <c r="A195" s="8"/>
      <c r="B195" s="8"/>
      <c r="C195" s="8" t="s">
        <v>10</v>
      </c>
      <c r="D195" s="31">
        <f t="shared" ref="D195:I195" si="30">SUM(D191:D193)</f>
        <v>12591.869999999999</v>
      </c>
      <c r="E195" s="31">
        <f t="shared" si="30"/>
        <v>505.98</v>
      </c>
      <c r="F195" s="30">
        <f t="shared" si="30"/>
        <v>358.09</v>
      </c>
      <c r="G195" s="30">
        <f t="shared" si="30"/>
        <v>0</v>
      </c>
      <c r="H195" s="30">
        <f t="shared" si="30"/>
        <v>0</v>
      </c>
      <c r="I195" s="30">
        <f t="shared" si="30"/>
        <v>0</v>
      </c>
      <c r="J195" s="31">
        <f>SUM(D195:I195)</f>
        <v>13455.939999999999</v>
      </c>
      <c r="K195" s="8"/>
      <c r="L195" s="8"/>
    </row>
    <row r="196" spans="1:12" ht="15.75" thickTop="1">
      <c r="A196" s="8"/>
      <c r="B196" s="8"/>
      <c r="C196" s="8"/>
      <c r="D196" s="20"/>
      <c r="E196" s="20"/>
      <c r="F196" s="15"/>
      <c r="G196" s="15"/>
      <c r="H196" s="15"/>
      <c r="I196" s="15"/>
      <c r="J196" s="20"/>
      <c r="K196" s="8"/>
      <c r="L196" s="8"/>
    </row>
    <row r="197" spans="1:12">
      <c r="A197" s="8"/>
      <c r="B197" s="8"/>
      <c r="C197" s="8"/>
      <c r="D197" s="20"/>
      <c r="E197" s="20"/>
      <c r="F197" s="15"/>
      <c r="G197" s="15"/>
      <c r="H197" s="15"/>
      <c r="I197" s="15"/>
      <c r="J197" s="20"/>
      <c r="K197" s="8"/>
      <c r="L197" s="8"/>
    </row>
    <row r="198" spans="1:12">
      <c r="A198" s="8">
        <v>52</v>
      </c>
      <c r="B198" s="8" t="s">
        <v>47</v>
      </c>
      <c r="C198" s="8" t="s">
        <v>12</v>
      </c>
      <c r="D198" s="20">
        <v>8315.3700000000008</v>
      </c>
      <c r="E198" s="20">
        <v>326.10000000000002</v>
      </c>
      <c r="F198" s="15"/>
      <c r="G198" s="15"/>
      <c r="H198" s="15"/>
      <c r="I198" s="15"/>
      <c r="J198" s="20">
        <f>SUM(D198:I198)</f>
        <v>8641.4700000000012</v>
      </c>
      <c r="K198" s="8"/>
      <c r="L198" s="8"/>
    </row>
    <row r="199" spans="1:12" ht="15.75" thickBot="1">
      <c r="A199" s="8"/>
      <c r="B199" s="8"/>
      <c r="C199" s="8" t="s">
        <v>13</v>
      </c>
      <c r="D199" s="29"/>
      <c r="E199" s="29"/>
      <c r="F199" s="28"/>
      <c r="G199" s="28"/>
      <c r="H199" s="28"/>
      <c r="I199" s="28"/>
      <c r="J199" s="34">
        <v>0</v>
      </c>
      <c r="K199" s="8"/>
      <c r="L199" s="8"/>
    </row>
    <row r="200" spans="1:12">
      <c r="A200" s="8"/>
      <c r="B200" s="8"/>
      <c r="C200" s="8"/>
      <c r="D200" s="20"/>
      <c r="E200" s="20"/>
      <c r="F200" s="15"/>
      <c r="G200" s="15"/>
      <c r="H200" s="15"/>
      <c r="I200" s="15"/>
      <c r="J200" s="20"/>
      <c r="K200" s="8"/>
      <c r="L200" s="8"/>
    </row>
    <row r="201" spans="1:12" ht="15.75" thickBot="1">
      <c r="A201" s="8"/>
      <c r="B201" s="8"/>
      <c r="C201" s="8" t="s">
        <v>10</v>
      </c>
      <c r="D201" s="31">
        <f t="shared" ref="D201:I201" si="31">SUM(D198:D199)</f>
        <v>8315.3700000000008</v>
      </c>
      <c r="E201" s="31">
        <f t="shared" si="31"/>
        <v>326.10000000000002</v>
      </c>
      <c r="F201" s="30">
        <f t="shared" si="31"/>
        <v>0</v>
      </c>
      <c r="G201" s="30">
        <f t="shared" si="31"/>
        <v>0</v>
      </c>
      <c r="H201" s="30">
        <f t="shared" si="31"/>
        <v>0</v>
      </c>
      <c r="I201" s="30">
        <f t="shared" si="31"/>
        <v>0</v>
      </c>
      <c r="J201" s="31">
        <f>SUM(D201:I201)</f>
        <v>8641.4700000000012</v>
      </c>
      <c r="K201" s="8"/>
      <c r="L201" s="8"/>
    </row>
    <row r="202" spans="1:12" ht="15.75" thickTop="1">
      <c r="A202" s="8"/>
      <c r="B202" s="8"/>
      <c r="C202" s="8"/>
      <c r="D202" s="20"/>
      <c r="E202" s="20"/>
      <c r="F202" s="15"/>
      <c r="G202" s="15"/>
      <c r="H202" s="15"/>
      <c r="I202" s="15"/>
      <c r="J202" s="20"/>
      <c r="K202" s="8"/>
      <c r="L202" s="8"/>
    </row>
    <row r="203" spans="1:12">
      <c r="A203" s="8"/>
      <c r="B203" s="8"/>
      <c r="C203" s="8"/>
      <c r="D203" s="20"/>
      <c r="E203" s="20"/>
      <c r="F203" s="15"/>
      <c r="G203" s="15"/>
      <c r="H203" s="15"/>
      <c r="I203" s="15"/>
      <c r="J203" s="20"/>
      <c r="K203" s="8"/>
      <c r="L203" s="8"/>
    </row>
    <row r="204" spans="1:12">
      <c r="A204" s="8">
        <v>53</v>
      </c>
      <c r="B204" s="8" t="s">
        <v>48</v>
      </c>
      <c r="C204" s="8" t="s">
        <v>12</v>
      </c>
      <c r="D204" s="20">
        <v>15192.84</v>
      </c>
      <c r="E204" s="20">
        <v>215.32</v>
      </c>
      <c r="F204" s="15">
        <f>76.61-0.03</f>
        <v>76.58</v>
      </c>
      <c r="G204" s="15">
        <f>4.81-0.5-0.03</f>
        <v>4.2799999999999994</v>
      </c>
      <c r="H204" s="15">
        <v>0.92</v>
      </c>
      <c r="I204" s="15"/>
      <c r="J204" s="20">
        <f>SUM(D204:I204)</f>
        <v>15489.94</v>
      </c>
      <c r="K204" s="8"/>
      <c r="L204" s="8"/>
    </row>
    <row r="205" spans="1:12">
      <c r="A205" s="8"/>
      <c r="B205" s="8"/>
      <c r="C205" s="8" t="s">
        <v>35</v>
      </c>
      <c r="D205" s="20">
        <v>844.52</v>
      </c>
      <c r="E205" s="20">
        <v>11.93</v>
      </c>
      <c r="F205" s="15">
        <v>0.43</v>
      </c>
      <c r="G205" s="15"/>
      <c r="H205" s="15">
        <v>0.09</v>
      </c>
      <c r="I205" s="15"/>
      <c r="J205" s="20">
        <f>SUM(D205:I205)</f>
        <v>856.96999999999991</v>
      </c>
      <c r="K205" s="8"/>
      <c r="L205" s="8"/>
    </row>
    <row r="206" spans="1:12">
      <c r="A206" s="8"/>
      <c r="B206" s="8"/>
      <c r="C206" s="8" t="s">
        <v>97</v>
      </c>
      <c r="D206" s="20">
        <v>338.05</v>
      </c>
      <c r="E206" s="20">
        <v>5.59</v>
      </c>
      <c r="F206" s="15"/>
      <c r="G206" s="15">
        <v>0.51</v>
      </c>
      <c r="H206" s="15">
        <v>0.01</v>
      </c>
      <c r="I206" s="15"/>
      <c r="J206" s="20">
        <f>SUM(D206:I206)</f>
        <v>344.15999999999997</v>
      </c>
      <c r="K206" s="8"/>
      <c r="L206" s="8"/>
    </row>
    <row r="207" spans="1:12" ht="15.75" thickBot="1">
      <c r="A207" s="8"/>
      <c r="B207" s="8"/>
      <c r="C207" s="8" t="s">
        <v>98</v>
      </c>
      <c r="D207" s="29">
        <v>2532.21</v>
      </c>
      <c r="E207" s="29">
        <v>36.32</v>
      </c>
      <c r="F207" s="28">
        <v>0.47</v>
      </c>
      <c r="G207" s="28"/>
      <c r="H207" s="28">
        <v>0.01</v>
      </c>
      <c r="I207" s="28"/>
      <c r="J207" s="29">
        <f>SUM(D207:I207)</f>
        <v>2569.0100000000002</v>
      </c>
      <c r="K207" s="8"/>
      <c r="L207" s="8"/>
    </row>
    <row r="208" spans="1:12">
      <c r="A208" s="8"/>
      <c r="B208" s="8"/>
      <c r="C208" s="8"/>
      <c r="D208" s="20"/>
      <c r="E208" s="20"/>
      <c r="F208" s="15"/>
      <c r="G208" s="15"/>
      <c r="H208" s="15"/>
      <c r="I208" s="15"/>
      <c r="J208" s="20"/>
      <c r="K208" s="8"/>
      <c r="L208" s="8"/>
    </row>
    <row r="209" spans="1:12" ht="15.75" thickBot="1">
      <c r="A209" s="8"/>
      <c r="B209" s="8"/>
      <c r="C209" s="8" t="s">
        <v>10</v>
      </c>
      <c r="D209" s="31">
        <f t="shared" ref="D209:J209" si="32">SUM(D204:D208)</f>
        <v>18907.62</v>
      </c>
      <c r="E209" s="31">
        <f t="shared" si="32"/>
        <v>269.16000000000003</v>
      </c>
      <c r="F209" s="30">
        <f t="shared" si="32"/>
        <v>77.48</v>
      </c>
      <c r="G209" s="30">
        <f t="shared" si="32"/>
        <v>4.7899999999999991</v>
      </c>
      <c r="H209" s="30">
        <f t="shared" si="32"/>
        <v>1.03</v>
      </c>
      <c r="I209" s="30">
        <f t="shared" si="32"/>
        <v>0</v>
      </c>
      <c r="J209" s="30">
        <f t="shared" si="32"/>
        <v>19260.080000000002</v>
      </c>
      <c r="K209" s="8"/>
      <c r="L209" s="8"/>
    </row>
    <row r="210" spans="1:12" ht="15.75" thickTop="1">
      <c r="A210" s="8"/>
      <c r="B210" s="8"/>
      <c r="C210" s="8"/>
      <c r="D210" s="20"/>
      <c r="E210" s="20"/>
      <c r="F210" s="15"/>
      <c r="G210" s="15"/>
      <c r="H210" s="15"/>
      <c r="I210" s="15"/>
      <c r="J210" s="20"/>
      <c r="K210" s="8"/>
      <c r="L210" s="8"/>
    </row>
    <row r="211" spans="1:12">
      <c r="A211" s="8"/>
      <c r="B211" s="8"/>
      <c r="C211" s="8"/>
      <c r="D211" s="20"/>
      <c r="E211" s="20"/>
      <c r="F211" s="15"/>
      <c r="G211" s="15"/>
      <c r="H211" s="15"/>
      <c r="I211" s="15"/>
      <c r="J211" s="20"/>
      <c r="K211" s="8"/>
      <c r="L211" s="8"/>
    </row>
    <row r="212" spans="1:12">
      <c r="A212" s="8">
        <v>54</v>
      </c>
      <c r="B212" s="8" t="s">
        <v>49</v>
      </c>
      <c r="C212" s="8" t="s">
        <v>12</v>
      </c>
      <c r="D212" s="20">
        <v>8142.73</v>
      </c>
      <c r="E212" s="20">
        <v>139.85</v>
      </c>
      <c r="F212" s="15">
        <v>25.71</v>
      </c>
      <c r="G212" s="15">
        <v>20.84</v>
      </c>
      <c r="H212" s="15"/>
      <c r="I212" s="15"/>
      <c r="J212" s="20">
        <f>SUM(D212:I212)</f>
        <v>8329.1299999999992</v>
      </c>
      <c r="K212" s="8"/>
      <c r="L212" s="8"/>
    </row>
    <row r="213" spans="1:12" ht="15.75" thickBot="1">
      <c r="A213" s="8"/>
      <c r="B213" s="8"/>
      <c r="C213" s="8" t="s">
        <v>104</v>
      </c>
      <c r="D213" s="29"/>
      <c r="E213" s="29">
        <v>13.58</v>
      </c>
      <c r="F213" s="28"/>
      <c r="G213" s="28"/>
      <c r="H213" s="28"/>
      <c r="I213" s="28"/>
      <c r="J213" s="29">
        <f>SUM(D213:I213)</f>
        <v>13.58</v>
      </c>
      <c r="K213" s="8"/>
      <c r="L213" s="8"/>
    </row>
    <row r="214" spans="1:12">
      <c r="A214" s="8"/>
      <c r="B214" s="8"/>
      <c r="C214" s="8"/>
      <c r="D214" s="20"/>
      <c r="E214" s="20"/>
      <c r="F214" s="15"/>
      <c r="G214" s="15"/>
      <c r="H214" s="15"/>
      <c r="I214" s="15"/>
      <c r="J214" s="20"/>
      <c r="K214" s="8"/>
      <c r="L214" s="8"/>
    </row>
    <row r="215" spans="1:12" ht="15.75" thickBot="1">
      <c r="A215" s="8"/>
      <c r="B215" s="8"/>
      <c r="C215" s="8" t="s">
        <v>10</v>
      </c>
      <c r="D215" s="31">
        <f t="shared" ref="D215:I215" si="33">SUM(D212:D214)</f>
        <v>8142.73</v>
      </c>
      <c r="E215" s="31">
        <f t="shared" si="33"/>
        <v>153.43</v>
      </c>
      <c r="F215" s="30">
        <f t="shared" si="33"/>
        <v>25.71</v>
      </c>
      <c r="G215" s="30">
        <f t="shared" si="33"/>
        <v>20.84</v>
      </c>
      <c r="H215" s="30">
        <f t="shared" si="33"/>
        <v>0</v>
      </c>
      <c r="I215" s="30">
        <f t="shared" si="33"/>
        <v>0</v>
      </c>
      <c r="J215" s="31">
        <f>SUM(D215:I215)</f>
        <v>8342.7099999999991</v>
      </c>
      <c r="K215" s="8"/>
      <c r="L215" s="8"/>
    </row>
    <row r="216" spans="1:12" ht="15.75" thickTop="1">
      <c r="A216" s="8"/>
      <c r="B216" s="8"/>
      <c r="C216" s="8"/>
      <c r="D216" s="20"/>
      <c r="E216" s="20"/>
      <c r="F216" s="15"/>
      <c r="G216" s="15"/>
      <c r="H216" s="15"/>
      <c r="I216" s="15"/>
      <c r="J216" s="20"/>
      <c r="K216" s="8"/>
      <c r="L216" s="8"/>
    </row>
    <row r="217" spans="1:12">
      <c r="A217" s="8"/>
      <c r="B217" s="8"/>
      <c r="C217" s="8"/>
      <c r="D217" s="20"/>
      <c r="E217" s="20"/>
      <c r="F217" s="15"/>
      <c r="G217" s="15"/>
      <c r="H217" s="15"/>
      <c r="I217" s="15"/>
      <c r="J217" s="20"/>
      <c r="K217" s="8"/>
      <c r="L217" s="8"/>
    </row>
    <row r="218" spans="1:12">
      <c r="A218" s="8">
        <v>55</v>
      </c>
      <c r="B218" s="8" t="s">
        <v>50</v>
      </c>
      <c r="C218" s="8" t="s">
        <v>12</v>
      </c>
      <c r="D218" s="20">
        <v>17485.5</v>
      </c>
      <c r="E218" s="20">
        <v>612.16</v>
      </c>
      <c r="F218" s="15">
        <v>145.94999999999999</v>
      </c>
      <c r="G218" s="15">
        <v>80.540000000000006</v>
      </c>
      <c r="H218" s="15">
        <v>16.29</v>
      </c>
      <c r="I218" s="15"/>
      <c r="J218" s="20">
        <f>SUM(D218:I218)</f>
        <v>18340.440000000002</v>
      </c>
      <c r="K218" s="8"/>
      <c r="L218" s="8"/>
    </row>
    <row r="219" spans="1:12" ht="15.75" thickBot="1">
      <c r="A219" s="8"/>
      <c r="B219" s="8"/>
      <c r="C219" s="8" t="s">
        <v>13</v>
      </c>
      <c r="D219" s="29">
        <v>436.97</v>
      </c>
      <c r="E219" s="29">
        <v>15.74</v>
      </c>
      <c r="F219" s="28">
        <v>4.04</v>
      </c>
      <c r="G219" s="28">
        <v>2.46</v>
      </c>
      <c r="H219" s="28">
        <v>0.76</v>
      </c>
      <c r="I219" s="28"/>
      <c r="J219" s="29">
        <f>SUM(D219:I219)</f>
        <v>459.97</v>
      </c>
      <c r="K219" s="8"/>
      <c r="L219" s="8"/>
    </row>
    <row r="220" spans="1:12">
      <c r="A220" s="8"/>
      <c r="B220" s="8"/>
      <c r="C220" s="8"/>
      <c r="D220" s="20"/>
      <c r="E220" s="20"/>
      <c r="F220" s="15"/>
      <c r="G220" s="15"/>
      <c r="H220" s="15"/>
      <c r="I220" s="15"/>
      <c r="J220" s="20"/>
      <c r="K220" s="8"/>
      <c r="L220" s="8"/>
    </row>
    <row r="221" spans="1:12" ht="15.75" thickBot="1">
      <c r="A221" s="8"/>
      <c r="B221" s="8"/>
      <c r="C221" s="8" t="s">
        <v>10</v>
      </c>
      <c r="D221" s="31">
        <f t="shared" ref="D221:I221" si="34">SUM(D218:D219)</f>
        <v>17922.47</v>
      </c>
      <c r="E221" s="31">
        <f t="shared" si="34"/>
        <v>627.9</v>
      </c>
      <c r="F221" s="30">
        <f t="shared" si="34"/>
        <v>149.98999999999998</v>
      </c>
      <c r="G221" s="30">
        <f t="shared" si="34"/>
        <v>83</v>
      </c>
      <c r="H221" s="30">
        <f t="shared" si="34"/>
        <v>17.05</v>
      </c>
      <c r="I221" s="30">
        <f t="shared" si="34"/>
        <v>0</v>
      </c>
      <c r="J221" s="31">
        <f>SUM(D221:I221)</f>
        <v>18800.410000000003</v>
      </c>
      <c r="K221" s="8"/>
      <c r="L221" s="8"/>
    </row>
    <row r="222" spans="1:12" ht="15.75" thickTop="1">
      <c r="A222" s="8"/>
      <c r="B222" s="8"/>
      <c r="C222" s="8"/>
      <c r="D222" s="20"/>
      <c r="E222" s="20"/>
      <c r="F222" s="15"/>
      <c r="G222" s="15"/>
      <c r="H222" s="15"/>
      <c r="I222" s="15"/>
      <c r="J222" s="20"/>
      <c r="K222" s="8"/>
      <c r="L222" s="8"/>
    </row>
    <row r="223" spans="1:12">
      <c r="A223" s="8"/>
      <c r="B223" s="8"/>
      <c r="C223" s="8"/>
      <c r="D223" s="20"/>
      <c r="E223" s="20"/>
      <c r="F223" s="15"/>
      <c r="G223" s="15"/>
      <c r="H223" s="15"/>
      <c r="I223" s="15"/>
      <c r="J223" s="20"/>
      <c r="K223" s="8"/>
      <c r="L223" s="8"/>
    </row>
    <row r="224" spans="1:12">
      <c r="A224" s="8">
        <v>56</v>
      </c>
      <c r="B224" s="8" t="s">
        <v>51</v>
      </c>
      <c r="C224" s="8" t="s">
        <v>12</v>
      </c>
      <c r="D224" s="20">
        <v>7775.94</v>
      </c>
      <c r="E224" s="20">
        <v>68.87</v>
      </c>
      <c r="F224" s="15">
        <v>68.540000000000006</v>
      </c>
      <c r="G224" s="15"/>
      <c r="H224" s="15"/>
      <c r="I224" s="15"/>
      <c r="J224" s="20">
        <f>SUM(D224:I224)</f>
        <v>7913.3499999999995</v>
      </c>
      <c r="K224" s="8"/>
      <c r="L224" s="8"/>
    </row>
    <row r="225" spans="1:12" ht="15.75" thickBot="1">
      <c r="A225" s="8"/>
      <c r="B225" s="8"/>
      <c r="C225" s="8" t="s">
        <v>13</v>
      </c>
      <c r="D225" s="29">
        <v>157.16</v>
      </c>
      <c r="E225" s="29">
        <v>1.35</v>
      </c>
      <c r="F225" s="28">
        <v>1.52</v>
      </c>
      <c r="G225" s="28"/>
      <c r="H225" s="28"/>
      <c r="I225" s="28"/>
      <c r="J225" s="29">
        <f>SUM(D225:I225)</f>
        <v>160.03</v>
      </c>
      <c r="K225" s="8"/>
      <c r="L225" s="8"/>
    </row>
    <row r="226" spans="1:12">
      <c r="A226" s="8"/>
      <c r="B226" s="8"/>
      <c r="C226" s="8"/>
      <c r="D226" s="20"/>
      <c r="E226" s="20"/>
      <c r="F226" s="15"/>
      <c r="G226" s="15"/>
      <c r="H226" s="15"/>
      <c r="I226" s="15"/>
      <c r="J226" s="20"/>
      <c r="K226" s="8"/>
      <c r="L226" s="8"/>
    </row>
    <row r="227" spans="1:12" ht="15.75" thickBot="1">
      <c r="A227" s="8"/>
      <c r="B227" s="8"/>
      <c r="C227" s="8" t="s">
        <v>10</v>
      </c>
      <c r="D227" s="31">
        <f t="shared" ref="D227:I227" si="35">SUM(D224:D225)</f>
        <v>7933.0999999999995</v>
      </c>
      <c r="E227" s="31">
        <f t="shared" si="35"/>
        <v>70.22</v>
      </c>
      <c r="F227" s="30">
        <f t="shared" si="35"/>
        <v>70.06</v>
      </c>
      <c r="G227" s="30">
        <f t="shared" si="35"/>
        <v>0</v>
      </c>
      <c r="H227" s="30">
        <f t="shared" si="35"/>
        <v>0</v>
      </c>
      <c r="I227" s="30">
        <f t="shared" si="35"/>
        <v>0</v>
      </c>
      <c r="J227" s="31">
        <f>SUM(D227:I227)</f>
        <v>8073.38</v>
      </c>
      <c r="K227" s="8"/>
      <c r="L227" s="8"/>
    </row>
    <row r="228" spans="1:12" ht="15.75" thickTop="1">
      <c r="A228" s="8"/>
      <c r="B228" s="8"/>
      <c r="C228" s="8"/>
      <c r="D228" s="20"/>
      <c r="E228" s="20"/>
      <c r="F228" s="15"/>
      <c r="G228" s="15"/>
      <c r="H228" s="15"/>
      <c r="I228" s="15"/>
      <c r="J228" s="20"/>
      <c r="K228" s="8"/>
      <c r="L228" s="8"/>
    </row>
    <row r="229" spans="1:12">
      <c r="A229" s="8"/>
      <c r="B229" s="8"/>
      <c r="C229" s="8"/>
      <c r="D229" s="20"/>
      <c r="E229" s="20"/>
      <c r="F229" s="15"/>
      <c r="G229" s="15"/>
      <c r="H229" s="15"/>
      <c r="I229" s="15"/>
      <c r="J229" s="20"/>
      <c r="K229" s="8"/>
      <c r="L229" s="8"/>
    </row>
    <row r="230" spans="1:12">
      <c r="A230" s="8">
        <v>57</v>
      </c>
      <c r="B230" s="8" t="s">
        <v>52</v>
      </c>
      <c r="C230" s="8" t="s">
        <v>12</v>
      </c>
      <c r="D230" s="20">
        <v>20783.93</v>
      </c>
      <c r="E230" s="20">
        <v>1176.42</v>
      </c>
      <c r="F230" s="15">
        <v>812.29</v>
      </c>
      <c r="G230" s="15">
        <v>438.61</v>
      </c>
      <c r="H230" s="15">
        <v>17.28</v>
      </c>
      <c r="I230" s="15"/>
      <c r="J230" s="20">
        <f>SUM(D230:I230)</f>
        <v>23228.53</v>
      </c>
      <c r="K230" s="8"/>
      <c r="L230" s="8"/>
    </row>
    <row r="231" spans="1:12" ht="15.75" thickBot="1">
      <c r="A231" s="8"/>
      <c r="B231" s="8"/>
      <c r="C231" s="8" t="s">
        <v>13</v>
      </c>
      <c r="D231" s="29">
        <v>519.79</v>
      </c>
      <c r="E231" s="29">
        <v>30.03</v>
      </c>
      <c r="F231" s="28">
        <v>17.989999999999998</v>
      </c>
      <c r="G231" s="28">
        <v>10.69</v>
      </c>
      <c r="H231" s="28">
        <v>0.6</v>
      </c>
      <c r="I231" s="28"/>
      <c r="J231" s="29">
        <f>SUM(D231:I231)</f>
        <v>579.1</v>
      </c>
      <c r="K231" s="8"/>
      <c r="L231" s="8"/>
    </row>
    <row r="232" spans="1:12">
      <c r="A232" s="8"/>
      <c r="B232" s="8"/>
      <c r="C232" s="8"/>
      <c r="D232" s="20"/>
      <c r="E232" s="20"/>
      <c r="F232" s="15"/>
      <c r="G232" s="15"/>
      <c r="H232" s="15"/>
      <c r="I232" s="15"/>
      <c r="J232" s="20"/>
      <c r="K232" s="8"/>
      <c r="L232" s="8"/>
    </row>
    <row r="233" spans="1:12" ht="15.75" thickBot="1">
      <c r="A233" s="8"/>
      <c r="B233" s="8"/>
      <c r="C233" s="8" t="s">
        <v>10</v>
      </c>
      <c r="D233" s="31">
        <f t="shared" ref="D233:I233" si="36">SUM(D230:D231)</f>
        <v>21303.72</v>
      </c>
      <c r="E233" s="31">
        <f t="shared" si="36"/>
        <v>1206.45</v>
      </c>
      <c r="F233" s="30">
        <f t="shared" si="36"/>
        <v>830.28</v>
      </c>
      <c r="G233" s="30">
        <f t="shared" si="36"/>
        <v>449.3</v>
      </c>
      <c r="H233" s="30">
        <f t="shared" si="36"/>
        <v>17.880000000000003</v>
      </c>
      <c r="I233" s="30">
        <f t="shared" si="36"/>
        <v>0</v>
      </c>
      <c r="J233" s="31">
        <f>SUM(D233:I233)</f>
        <v>23807.63</v>
      </c>
      <c r="K233" s="8"/>
      <c r="L233" s="8"/>
    </row>
    <row r="234" spans="1:12" ht="15.75" thickTop="1">
      <c r="A234" s="8"/>
      <c r="B234" s="8"/>
      <c r="C234" s="8"/>
      <c r="D234" s="20"/>
      <c r="E234" s="20"/>
      <c r="F234" s="15"/>
      <c r="G234" s="15"/>
      <c r="H234" s="15"/>
      <c r="I234" s="15"/>
      <c r="J234" s="20"/>
      <c r="K234" s="8"/>
      <c r="L234" s="8"/>
    </row>
    <row r="235" spans="1:12">
      <c r="A235" s="8"/>
      <c r="B235" s="8"/>
      <c r="C235" s="8"/>
      <c r="D235" s="20"/>
      <c r="E235" s="20"/>
      <c r="F235" s="15"/>
      <c r="G235" s="15"/>
      <c r="H235" s="15"/>
      <c r="I235" s="15"/>
      <c r="J235" s="20"/>
      <c r="K235" s="8"/>
      <c r="L235" s="8"/>
    </row>
    <row r="236" spans="1:12">
      <c r="A236" s="8">
        <v>58</v>
      </c>
      <c r="B236" s="8" t="s">
        <v>53</v>
      </c>
      <c r="C236" s="8" t="s">
        <v>12</v>
      </c>
      <c r="D236" s="20">
        <v>9240.07</v>
      </c>
      <c r="E236" s="20"/>
      <c r="F236" s="15"/>
      <c r="G236" s="15"/>
      <c r="H236" s="15"/>
      <c r="I236" s="15"/>
      <c r="J236" s="20">
        <f>SUM(D236:I236)</f>
        <v>9240.07</v>
      </c>
      <c r="K236" s="8"/>
      <c r="L236" s="8"/>
    </row>
    <row r="237" spans="1:12" ht="15.75" thickBot="1">
      <c r="A237" s="8"/>
      <c r="B237" s="8"/>
      <c r="C237" s="8" t="s">
        <v>13</v>
      </c>
      <c r="D237" s="29"/>
      <c r="E237" s="29"/>
      <c r="F237" s="28"/>
      <c r="G237" s="28"/>
      <c r="H237" s="28"/>
      <c r="I237" s="28"/>
      <c r="J237" s="34">
        <v>0</v>
      </c>
      <c r="K237" s="8"/>
      <c r="L237" s="8"/>
    </row>
    <row r="238" spans="1:12">
      <c r="A238" s="8"/>
      <c r="B238" s="8"/>
      <c r="C238" s="8"/>
      <c r="D238" s="20"/>
      <c r="E238" s="20"/>
      <c r="F238" s="15"/>
      <c r="G238" s="15"/>
      <c r="H238" s="15"/>
      <c r="I238" s="15"/>
      <c r="J238" s="20"/>
      <c r="K238" s="8"/>
      <c r="L238" s="8"/>
    </row>
    <row r="239" spans="1:12" ht="15.75" thickBot="1">
      <c r="A239" s="8"/>
      <c r="B239" s="8"/>
      <c r="C239" s="8" t="s">
        <v>10</v>
      </c>
      <c r="D239" s="31">
        <f t="shared" ref="D239:I239" si="37">SUM(D236:D237)</f>
        <v>9240.07</v>
      </c>
      <c r="E239" s="31">
        <f t="shared" si="37"/>
        <v>0</v>
      </c>
      <c r="F239" s="30">
        <f t="shared" si="37"/>
        <v>0</v>
      </c>
      <c r="G239" s="30">
        <f t="shared" si="37"/>
        <v>0</v>
      </c>
      <c r="H239" s="30">
        <f t="shared" si="37"/>
        <v>0</v>
      </c>
      <c r="I239" s="30">
        <f t="shared" si="37"/>
        <v>0</v>
      </c>
      <c r="J239" s="31">
        <f>SUM(D239:I239)</f>
        <v>9240.07</v>
      </c>
      <c r="K239" s="8"/>
      <c r="L239" s="8"/>
    </row>
    <row r="240" spans="1:12" ht="15.75" thickTop="1">
      <c r="A240" s="8"/>
      <c r="B240" s="8"/>
      <c r="C240" s="8"/>
      <c r="D240" s="20"/>
      <c r="E240" s="20"/>
      <c r="F240" s="15"/>
      <c r="G240" s="15"/>
      <c r="H240" s="15"/>
      <c r="I240" s="15"/>
      <c r="J240" s="20"/>
      <c r="K240" s="8"/>
      <c r="L240" s="8"/>
    </row>
    <row r="241" spans="1:12">
      <c r="A241" s="8"/>
      <c r="B241" s="8"/>
      <c r="C241" s="8"/>
      <c r="D241" s="20"/>
      <c r="E241" s="20"/>
      <c r="F241" s="15"/>
      <c r="G241" s="15"/>
      <c r="H241" s="15"/>
      <c r="I241" s="15"/>
      <c r="J241" s="20"/>
      <c r="K241" s="8"/>
      <c r="L241" s="8"/>
    </row>
    <row r="242" spans="1:12">
      <c r="A242" s="8">
        <v>59</v>
      </c>
      <c r="B242" s="8" t="s">
        <v>54</v>
      </c>
      <c r="C242" s="8" t="s">
        <v>12</v>
      </c>
      <c r="D242" s="20">
        <v>14291.6</v>
      </c>
      <c r="E242" s="20">
        <v>278.83999999999997</v>
      </c>
      <c r="F242" s="15">
        <v>42.41</v>
      </c>
      <c r="G242" s="15"/>
      <c r="H242" s="15"/>
      <c r="I242" s="15"/>
      <c r="J242" s="20">
        <f>SUM(D242:I242)</f>
        <v>14612.85</v>
      </c>
      <c r="K242" s="8"/>
      <c r="L242" s="8"/>
    </row>
    <row r="243" spans="1:12" ht="15.75" thickBot="1">
      <c r="A243" s="8"/>
      <c r="B243" s="8"/>
      <c r="C243" s="8" t="s">
        <v>35</v>
      </c>
      <c r="D243" s="29">
        <v>627.17999999999995</v>
      </c>
      <c r="E243" s="29">
        <v>17.18</v>
      </c>
      <c r="F243" s="28">
        <v>2.4700000000000002</v>
      </c>
      <c r="G243" s="28"/>
      <c r="H243" s="28"/>
      <c r="I243" s="28"/>
      <c r="J243" s="29">
        <f>SUM(D243:I243)</f>
        <v>646.82999999999993</v>
      </c>
      <c r="K243" s="8"/>
      <c r="L243" s="8"/>
    </row>
    <row r="244" spans="1:12">
      <c r="A244" s="8"/>
      <c r="B244" s="8"/>
      <c r="C244" s="8"/>
      <c r="D244" s="20"/>
      <c r="E244" s="20"/>
      <c r="F244" s="15"/>
      <c r="G244" s="15"/>
      <c r="H244" s="15"/>
      <c r="I244" s="15"/>
      <c r="J244" s="20"/>
      <c r="K244" s="8"/>
      <c r="L244" s="8"/>
    </row>
    <row r="245" spans="1:12" ht="15.75" thickBot="1">
      <c r="A245" s="8"/>
      <c r="B245" s="8"/>
      <c r="C245" s="8" t="s">
        <v>10</v>
      </c>
      <c r="D245" s="31">
        <f t="shared" ref="D245:I245" si="38">SUM(D242:D243)</f>
        <v>14918.78</v>
      </c>
      <c r="E245" s="31">
        <f t="shared" si="38"/>
        <v>296.02</v>
      </c>
      <c r="F245" s="30">
        <f t="shared" si="38"/>
        <v>44.879999999999995</v>
      </c>
      <c r="G245" s="30">
        <f t="shared" si="38"/>
        <v>0</v>
      </c>
      <c r="H245" s="30">
        <f t="shared" si="38"/>
        <v>0</v>
      </c>
      <c r="I245" s="30">
        <f t="shared" si="38"/>
        <v>0</v>
      </c>
      <c r="J245" s="31">
        <f>SUM(D245:I245)</f>
        <v>15259.68</v>
      </c>
      <c r="K245" s="8"/>
      <c r="L245" s="8"/>
    </row>
    <row r="246" spans="1:12" ht="15.75" thickTop="1">
      <c r="A246" s="8"/>
      <c r="B246" s="8"/>
      <c r="C246" s="8"/>
      <c r="D246" s="20"/>
      <c r="E246" s="20"/>
      <c r="F246" s="15"/>
      <c r="G246" s="15"/>
      <c r="H246" s="15"/>
      <c r="I246" s="15"/>
      <c r="J246" s="20"/>
      <c r="K246" s="8"/>
      <c r="L246" s="8"/>
    </row>
    <row r="247" spans="1:12">
      <c r="A247" s="8"/>
      <c r="B247" s="8"/>
      <c r="C247" s="8"/>
      <c r="D247" s="20"/>
      <c r="E247" s="20"/>
      <c r="F247" s="15"/>
      <c r="G247" s="15"/>
      <c r="H247" s="15"/>
      <c r="I247" s="15"/>
      <c r="J247" s="20"/>
      <c r="K247" s="8"/>
      <c r="L247" s="8"/>
    </row>
    <row r="248" spans="1:12" ht="15.75" thickBot="1">
      <c r="A248" s="8">
        <v>60</v>
      </c>
      <c r="B248" s="8" t="s">
        <v>55</v>
      </c>
      <c r="C248" s="8" t="s">
        <v>12</v>
      </c>
      <c r="D248" s="29">
        <v>52589.03</v>
      </c>
      <c r="E248" s="29">
        <v>1056.3</v>
      </c>
      <c r="F248" s="28">
        <v>819.08</v>
      </c>
      <c r="G248" s="28">
        <v>304.57</v>
      </c>
      <c r="H248" s="28">
        <v>36.909999999999997</v>
      </c>
      <c r="I248" s="28"/>
      <c r="J248" s="29">
        <f>SUM(D248:I248)</f>
        <v>54805.890000000007</v>
      </c>
      <c r="K248" s="8"/>
      <c r="L248" s="8"/>
    </row>
    <row r="249" spans="1:12">
      <c r="A249" s="8"/>
      <c r="B249" s="8"/>
      <c r="C249" s="8"/>
      <c r="D249" s="20"/>
      <c r="E249" s="20"/>
      <c r="F249" s="15"/>
      <c r="G249" s="15"/>
      <c r="H249" s="15"/>
      <c r="I249" s="15"/>
      <c r="J249" s="20"/>
      <c r="K249" s="8"/>
      <c r="L249" s="8"/>
    </row>
    <row r="250" spans="1:12" ht="15.75" thickBot="1">
      <c r="A250" s="8"/>
      <c r="B250" s="8"/>
      <c r="C250" s="8" t="s">
        <v>10</v>
      </c>
      <c r="D250" s="31">
        <f t="shared" ref="D250:I250" si="39">SUM(D248:D249)</f>
        <v>52589.03</v>
      </c>
      <c r="E250" s="31">
        <f t="shared" si="39"/>
        <v>1056.3</v>
      </c>
      <c r="F250" s="30">
        <f t="shared" si="39"/>
        <v>819.08</v>
      </c>
      <c r="G250" s="30">
        <f t="shared" si="39"/>
        <v>304.57</v>
      </c>
      <c r="H250" s="30">
        <f t="shared" si="39"/>
        <v>36.909999999999997</v>
      </c>
      <c r="I250" s="30">
        <f t="shared" si="39"/>
        <v>0</v>
      </c>
      <c r="J250" s="31">
        <f>SUM(D250:I250)</f>
        <v>54805.890000000007</v>
      </c>
      <c r="K250" s="8"/>
      <c r="L250" s="8"/>
    </row>
    <row r="251" spans="1:12" ht="15.75" thickTop="1">
      <c r="A251" s="8"/>
      <c r="B251" s="8"/>
      <c r="C251" s="8"/>
      <c r="D251" s="20"/>
      <c r="E251" s="20"/>
      <c r="F251" s="15"/>
      <c r="G251" s="15"/>
      <c r="H251" s="15"/>
      <c r="I251" s="15"/>
      <c r="J251" s="20"/>
      <c r="K251" s="8"/>
      <c r="L251" s="8"/>
    </row>
    <row r="252" spans="1:12">
      <c r="A252" s="8"/>
      <c r="B252" s="8"/>
      <c r="C252" s="8"/>
      <c r="D252" s="20"/>
      <c r="E252" s="20"/>
      <c r="F252" s="15"/>
      <c r="G252" s="15"/>
      <c r="H252" s="15"/>
      <c r="I252" s="15"/>
      <c r="J252" s="20"/>
      <c r="K252" s="8"/>
      <c r="L252" s="8"/>
    </row>
    <row r="253" spans="1:12">
      <c r="A253" s="8">
        <v>61</v>
      </c>
      <c r="B253" s="8" t="s">
        <v>56</v>
      </c>
      <c r="C253" s="8" t="s">
        <v>12</v>
      </c>
      <c r="D253" s="20">
        <v>13120.21</v>
      </c>
      <c r="E253" s="20">
        <v>86.04</v>
      </c>
      <c r="F253" s="15">
        <v>67.59</v>
      </c>
      <c r="G253" s="15">
        <v>68.180000000000007</v>
      </c>
      <c r="H253" s="15">
        <v>70.22</v>
      </c>
      <c r="I253" s="15"/>
      <c r="J253" s="20">
        <f>SUM(D253:I253)</f>
        <v>13412.24</v>
      </c>
      <c r="K253" s="8"/>
      <c r="L253" s="8"/>
    </row>
    <row r="254" spans="1:12">
      <c r="A254" s="8"/>
      <c r="B254" s="8"/>
      <c r="C254" s="8" t="s">
        <v>13</v>
      </c>
      <c r="D254" s="20">
        <v>208.78</v>
      </c>
      <c r="E254" s="20">
        <v>2.0499999999999998</v>
      </c>
      <c r="F254" s="15">
        <v>1.52</v>
      </c>
      <c r="G254" s="15">
        <v>0.97</v>
      </c>
      <c r="H254" s="15">
        <v>1.41</v>
      </c>
      <c r="I254" s="15"/>
      <c r="J254" s="20">
        <f>SUM(D254:I254)</f>
        <v>214.73000000000002</v>
      </c>
      <c r="K254" s="8"/>
      <c r="L254" s="8"/>
    </row>
    <row r="255" spans="1:12" ht="15.75" thickBot="1">
      <c r="A255" s="8"/>
      <c r="B255" s="8"/>
      <c r="C255" s="8" t="s">
        <v>99</v>
      </c>
      <c r="D255" s="29">
        <v>840.73</v>
      </c>
      <c r="E255" s="29">
        <v>7.44</v>
      </c>
      <c r="F255" s="28">
        <v>6.05</v>
      </c>
      <c r="G255" s="28">
        <v>5.89</v>
      </c>
      <c r="H255" s="28">
        <v>6.09</v>
      </c>
      <c r="I255" s="28"/>
      <c r="J255" s="29">
        <f>SUM(D255:I255)</f>
        <v>866.2</v>
      </c>
      <c r="K255" s="8"/>
      <c r="L255" s="8"/>
    </row>
    <row r="256" spans="1:12">
      <c r="A256" s="8"/>
      <c r="B256" s="8"/>
      <c r="C256" s="8"/>
      <c r="D256" s="20"/>
      <c r="E256" s="20"/>
      <c r="F256" s="15"/>
      <c r="G256" s="15"/>
      <c r="H256" s="15"/>
      <c r="I256" s="15"/>
      <c r="J256" s="20"/>
      <c r="K256" s="8"/>
      <c r="L256" s="8"/>
    </row>
    <row r="257" spans="1:12" ht="15.75" thickBot="1">
      <c r="A257" s="8"/>
      <c r="B257" s="8"/>
      <c r="C257" s="8" t="s">
        <v>10</v>
      </c>
      <c r="D257" s="31">
        <f t="shared" ref="D257:J257" si="40">SUM(D253:D255)</f>
        <v>14169.72</v>
      </c>
      <c r="E257" s="31">
        <f t="shared" si="40"/>
        <v>95.53</v>
      </c>
      <c r="F257" s="30">
        <f t="shared" si="40"/>
        <v>75.16</v>
      </c>
      <c r="G257" s="30">
        <f t="shared" si="40"/>
        <v>75.040000000000006</v>
      </c>
      <c r="H257" s="30">
        <f t="shared" si="40"/>
        <v>77.72</v>
      </c>
      <c r="I257" s="30">
        <f t="shared" si="40"/>
        <v>0</v>
      </c>
      <c r="J257" s="30">
        <f t="shared" si="40"/>
        <v>14493.17</v>
      </c>
      <c r="K257" s="8"/>
      <c r="L257" s="8"/>
    </row>
    <row r="258" spans="1:12" ht="15.75" thickTop="1">
      <c r="A258" s="8"/>
      <c r="B258" s="8"/>
      <c r="C258" s="8"/>
      <c r="D258" s="20"/>
      <c r="E258" s="20"/>
      <c r="F258" s="15"/>
      <c r="G258" s="15"/>
      <c r="H258" s="15"/>
      <c r="I258" s="15"/>
      <c r="J258" s="20"/>
      <c r="K258" s="8"/>
      <c r="L258" s="8"/>
    </row>
    <row r="259" spans="1:12">
      <c r="A259" s="8"/>
      <c r="B259" s="8"/>
      <c r="C259" s="8"/>
      <c r="D259" s="20"/>
      <c r="E259" s="20"/>
      <c r="F259" s="15"/>
      <c r="G259" s="15"/>
      <c r="H259" s="15"/>
      <c r="I259" s="15"/>
      <c r="J259" s="20"/>
      <c r="K259" s="8"/>
      <c r="L259" s="8"/>
    </row>
    <row r="260" spans="1:12">
      <c r="A260" s="8">
        <v>62</v>
      </c>
      <c r="B260" s="8" t="s">
        <v>57</v>
      </c>
      <c r="C260" s="8" t="s">
        <v>12</v>
      </c>
      <c r="D260" s="20">
        <v>4620.82</v>
      </c>
      <c r="E260" s="20"/>
      <c r="F260" s="15"/>
      <c r="G260" s="15"/>
      <c r="H260" s="15"/>
      <c r="I260" s="15"/>
      <c r="J260" s="20">
        <f>SUM(D260:I260)</f>
        <v>4620.82</v>
      </c>
      <c r="K260" s="8"/>
      <c r="L260" s="8"/>
    </row>
    <row r="261" spans="1:12" ht="15.75" thickBot="1">
      <c r="A261" s="8"/>
      <c r="B261" s="8"/>
      <c r="C261" s="8" t="s">
        <v>13</v>
      </c>
      <c r="D261" s="29">
        <v>93.86</v>
      </c>
      <c r="E261" s="29"/>
      <c r="F261" s="28"/>
      <c r="G261" s="28"/>
      <c r="H261" s="28"/>
      <c r="I261" s="28"/>
      <c r="J261" s="29">
        <f>SUM(D261:I261)</f>
        <v>93.86</v>
      </c>
      <c r="K261" s="8"/>
      <c r="L261" s="8"/>
    </row>
    <row r="262" spans="1:12">
      <c r="A262" s="8"/>
      <c r="B262" s="8"/>
      <c r="C262" s="8"/>
      <c r="D262" s="20"/>
      <c r="E262" s="20"/>
      <c r="F262" s="15"/>
      <c r="G262" s="15"/>
      <c r="H262" s="15"/>
      <c r="I262" s="15"/>
      <c r="J262" s="20"/>
      <c r="K262" s="8"/>
      <c r="L262" s="8"/>
    </row>
    <row r="263" spans="1:12" ht="15.75" thickBot="1">
      <c r="A263" s="8"/>
      <c r="B263" s="8"/>
      <c r="C263" s="8" t="s">
        <v>10</v>
      </c>
      <c r="D263" s="31">
        <f t="shared" ref="D263:I263" si="41">SUM(D260:D261)</f>
        <v>4714.6799999999994</v>
      </c>
      <c r="E263" s="31">
        <f t="shared" si="41"/>
        <v>0</v>
      </c>
      <c r="F263" s="30">
        <f t="shared" si="41"/>
        <v>0</v>
      </c>
      <c r="G263" s="30">
        <f t="shared" si="41"/>
        <v>0</v>
      </c>
      <c r="H263" s="30">
        <f t="shared" si="41"/>
        <v>0</v>
      </c>
      <c r="I263" s="30">
        <f t="shared" si="41"/>
        <v>0</v>
      </c>
      <c r="J263" s="31">
        <f>SUM(D263:I263)</f>
        <v>4714.6799999999994</v>
      </c>
      <c r="K263" s="8"/>
      <c r="L263" s="8"/>
    </row>
    <row r="264" spans="1:12" ht="15.75" thickTop="1">
      <c r="A264" s="8"/>
      <c r="B264" s="8"/>
      <c r="C264" s="8"/>
      <c r="D264" s="20"/>
      <c r="E264" s="20"/>
      <c r="F264" s="15"/>
      <c r="G264" s="15"/>
      <c r="H264" s="15"/>
      <c r="I264" s="15"/>
      <c r="J264" s="20"/>
      <c r="K264" s="8"/>
      <c r="L264" s="8"/>
    </row>
    <row r="265" spans="1:12">
      <c r="A265" s="8"/>
      <c r="B265" s="8"/>
      <c r="C265" s="8"/>
      <c r="D265" s="20"/>
      <c r="E265" s="20"/>
      <c r="F265" s="15"/>
      <c r="G265" s="15"/>
      <c r="H265" s="15"/>
      <c r="I265" s="15"/>
      <c r="J265" s="20"/>
      <c r="K265" s="8"/>
      <c r="L265" s="8"/>
    </row>
    <row r="266" spans="1:12">
      <c r="A266" s="8">
        <v>63</v>
      </c>
      <c r="B266" s="8" t="s">
        <v>58</v>
      </c>
      <c r="C266" s="8" t="s">
        <v>12</v>
      </c>
      <c r="D266" s="20">
        <v>10151.719999999999</v>
      </c>
      <c r="E266" s="20">
        <v>120.8</v>
      </c>
      <c r="F266" s="15">
        <v>119.3</v>
      </c>
      <c r="G266" s="15"/>
      <c r="H266" s="15"/>
      <c r="I266" s="15"/>
      <c r="J266" s="20">
        <f>SUM(D266:I266)</f>
        <v>10391.819999999998</v>
      </c>
      <c r="K266" s="8"/>
      <c r="L266" s="8"/>
    </row>
    <row r="267" spans="1:12" ht="15.75" thickBot="1">
      <c r="A267" s="8"/>
      <c r="B267" s="8"/>
      <c r="C267" s="8" t="s">
        <v>13</v>
      </c>
      <c r="D267" s="29">
        <v>365.46</v>
      </c>
      <c r="E267" s="29">
        <v>10.76</v>
      </c>
      <c r="F267" s="28">
        <v>10.43</v>
      </c>
      <c r="G267" s="28"/>
      <c r="H267" s="28"/>
      <c r="I267" s="28"/>
      <c r="J267" s="29">
        <f>SUM(D267:I267)</f>
        <v>386.65</v>
      </c>
      <c r="K267" s="8"/>
      <c r="L267" s="8"/>
    </row>
    <row r="268" spans="1:12">
      <c r="A268" s="8"/>
      <c r="B268" s="8"/>
      <c r="C268" s="8"/>
      <c r="D268" s="20"/>
      <c r="E268" s="20"/>
      <c r="F268" s="15"/>
      <c r="G268" s="15"/>
      <c r="H268" s="15"/>
      <c r="I268" s="15"/>
      <c r="J268" s="20"/>
      <c r="K268" s="8"/>
      <c r="L268" s="8"/>
    </row>
    <row r="269" spans="1:12" ht="15.75" thickBot="1">
      <c r="A269" s="8"/>
      <c r="B269" s="8"/>
      <c r="C269" s="8" t="s">
        <v>10</v>
      </c>
      <c r="D269" s="31">
        <f t="shared" ref="D269:I269" si="42">SUM(D266:D267)</f>
        <v>10517.179999999998</v>
      </c>
      <c r="E269" s="31">
        <f t="shared" si="42"/>
        <v>131.56</v>
      </c>
      <c r="F269" s="30">
        <f t="shared" si="42"/>
        <v>129.72999999999999</v>
      </c>
      <c r="G269" s="30">
        <f t="shared" si="42"/>
        <v>0</v>
      </c>
      <c r="H269" s="30">
        <f t="shared" si="42"/>
        <v>0</v>
      </c>
      <c r="I269" s="30">
        <f t="shared" si="42"/>
        <v>0</v>
      </c>
      <c r="J269" s="31">
        <f>SUM(D269:I269)</f>
        <v>10778.469999999998</v>
      </c>
      <c r="K269" s="8"/>
      <c r="L269" s="8"/>
    </row>
    <row r="270" spans="1:12" ht="15.75" thickTop="1">
      <c r="A270" s="8"/>
      <c r="B270" s="8"/>
      <c r="C270" s="8"/>
      <c r="D270" s="20"/>
      <c r="E270" s="20"/>
      <c r="F270" s="15"/>
      <c r="G270" s="15"/>
      <c r="H270" s="15"/>
      <c r="I270" s="15"/>
      <c r="J270" s="20"/>
      <c r="K270" s="8"/>
      <c r="L270" s="8"/>
    </row>
    <row r="271" spans="1:12">
      <c r="A271" s="8"/>
      <c r="B271" s="8"/>
      <c r="C271" s="8"/>
      <c r="D271" s="20"/>
      <c r="E271" s="20"/>
      <c r="F271" s="15"/>
      <c r="G271" s="15"/>
      <c r="H271" s="15"/>
      <c r="I271" s="15"/>
      <c r="J271" s="20"/>
      <c r="K271" s="8"/>
      <c r="L271" s="8"/>
    </row>
    <row r="272" spans="1:12" ht="15.75" thickBot="1">
      <c r="A272" s="8">
        <v>64</v>
      </c>
      <c r="B272" s="8" t="s">
        <v>59</v>
      </c>
      <c r="C272" s="8" t="s">
        <v>12</v>
      </c>
      <c r="D272" s="29">
        <v>79669.490000000005</v>
      </c>
      <c r="E272" s="29">
        <v>4049.35</v>
      </c>
      <c r="F272" s="28">
        <v>1045.24</v>
      </c>
      <c r="G272" s="28">
        <v>707.61</v>
      </c>
      <c r="H272" s="28">
        <v>206.32</v>
      </c>
      <c r="I272" s="28"/>
      <c r="J272" s="29">
        <f>SUM(D272:I272)</f>
        <v>85678.010000000024</v>
      </c>
      <c r="K272" s="8"/>
      <c r="L272" s="8"/>
    </row>
    <row r="273" spans="1:12">
      <c r="A273" s="8"/>
      <c r="B273" s="8"/>
      <c r="C273" s="8"/>
      <c r="D273" s="20"/>
      <c r="E273" s="20"/>
      <c r="F273" s="15"/>
      <c r="G273" s="15"/>
      <c r="H273" s="15"/>
      <c r="I273" s="15"/>
      <c r="J273" s="20"/>
      <c r="K273" s="8"/>
      <c r="L273" s="8"/>
    </row>
    <row r="274" spans="1:12" ht="15.75" thickBot="1">
      <c r="A274" s="8"/>
      <c r="B274" s="8"/>
      <c r="C274" s="8" t="s">
        <v>10</v>
      </c>
      <c r="D274" s="31">
        <f t="shared" ref="D274:I274" si="43">SUM(D272:D273)</f>
        <v>79669.490000000005</v>
      </c>
      <c r="E274" s="31">
        <f t="shared" si="43"/>
        <v>4049.35</v>
      </c>
      <c r="F274" s="30">
        <f t="shared" si="43"/>
        <v>1045.24</v>
      </c>
      <c r="G274" s="30">
        <f t="shared" si="43"/>
        <v>707.61</v>
      </c>
      <c r="H274" s="30">
        <f t="shared" si="43"/>
        <v>206.32</v>
      </c>
      <c r="I274" s="30">
        <f t="shared" si="43"/>
        <v>0</v>
      </c>
      <c r="J274" s="31">
        <f>SUM(D274:I274)</f>
        <v>85678.010000000024</v>
      </c>
      <c r="K274" s="8"/>
      <c r="L274" s="8"/>
    </row>
    <row r="275" spans="1:12" ht="15.75" thickTop="1">
      <c r="A275" s="8"/>
      <c r="B275" s="8"/>
      <c r="C275" s="8"/>
      <c r="D275" s="20"/>
      <c r="E275" s="20"/>
      <c r="F275" s="15"/>
      <c r="G275" s="15"/>
      <c r="H275" s="15"/>
      <c r="I275" s="15"/>
      <c r="J275" s="20"/>
      <c r="K275" s="8"/>
      <c r="L275" s="8"/>
    </row>
    <row r="276" spans="1:12">
      <c r="A276" s="8"/>
      <c r="B276" s="12"/>
      <c r="C276" s="12"/>
      <c r="D276" s="36"/>
      <c r="E276" s="36"/>
      <c r="F276" s="16"/>
      <c r="G276" s="13"/>
      <c r="H276" s="13"/>
      <c r="I276" s="13"/>
      <c r="J276" s="20"/>
      <c r="K276" s="8"/>
      <c r="L276" s="8"/>
    </row>
    <row r="277" spans="1:12">
      <c r="A277" s="8">
        <v>65</v>
      </c>
      <c r="B277" s="8" t="s">
        <v>60</v>
      </c>
      <c r="C277" s="8" t="s">
        <v>12</v>
      </c>
      <c r="D277" s="20">
        <v>8151.19</v>
      </c>
      <c r="E277" s="20">
        <v>40.049999999999997</v>
      </c>
      <c r="F277" s="15">
        <v>23.19</v>
      </c>
      <c r="G277" s="15"/>
      <c r="H277" s="15"/>
      <c r="I277" s="15"/>
      <c r="J277" s="20">
        <f>SUM(D277:I277)</f>
        <v>8214.43</v>
      </c>
      <c r="K277" s="8"/>
      <c r="L277" s="8"/>
    </row>
    <row r="278" spans="1:12" ht="15.75" thickBot="1">
      <c r="A278" s="8"/>
      <c r="B278" s="8"/>
      <c r="C278" s="8" t="s">
        <v>13</v>
      </c>
      <c r="D278" s="29"/>
      <c r="E278" s="29"/>
      <c r="F278" s="28"/>
      <c r="G278" s="28"/>
      <c r="H278" s="28"/>
      <c r="I278" s="28"/>
      <c r="J278" s="29"/>
      <c r="K278" s="8"/>
      <c r="L278" s="8"/>
    </row>
    <row r="279" spans="1:12">
      <c r="A279" s="8"/>
      <c r="B279" s="8"/>
      <c r="C279" s="8"/>
      <c r="D279" s="20"/>
      <c r="E279" s="20"/>
      <c r="F279" s="15"/>
      <c r="G279" s="15"/>
      <c r="H279" s="15"/>
      <c r="I279" s="15"/>
      <c r="J279" s="20"/>
      <c r="K279" s="8"/>
      <c r="L279" s="8"/>
    </row>
    <row r="280" spans="1:12" ht="15.75" thickBot="1">
      <c r="A280" s="8"/>
      <c r="B280" s="8"/>
      <c r="C280" s="8" t="s">
        <v>10</v>
      </c>
      <c r="D280" s="31">
        <f t="shared" ref="D280:I280" si="44">SUM(D277:D278)</f>
        <v>8151.19</v>
      </c>
      <c r="E280" s="31">
        <f t="shared" si="44"/>
        <v>40.049999999999997</v>
      </c>
      <c r="F280" s="30">
        <f t="shared" si="44"/>
        <v>23.19</v>
      </c>
      <c r="G280" s="30">
        <f t="shared" si="44"/>
        <v>0</v>
      </c>
      <c r="H280" s="30">
        <f t="shared" si="44"/>
        <v>0</v>
      </c>
      <c r="I280" s="30">
        <f t="shared" si="44"/>
        <v>0</v>
      </c>
      <c r="J280" s="31">
        <f>SUM(D280:I280)</f>
        <v>8214.43</v>
      </c>
      <c r="K280" s="8"/>
      <c r="L280" s="8"/>
    </row>
    <row r="281" spans="1:12" ht="15.75" thickTop="1">
      <c r="A281" s="8"/>
      <c r="B281" s="8"/>
      <c r="C281" s="8"/>
      <c r="D281" s="20"/>
      <c r="E281" s="20"/>
      <c r="F281" s="15"/>
      <c r="G281" s="15"/>
      <c r="H281" s="15"/>
      <c r="I281" s="15"/>
      <c r="J281" s="20"/>
      <c r="K281" s="8"/>
      <c r="L281" s="8"/>
    </row>
    <row r="282" spans="1:12">
      <c r="A282" s="8"/>
      <c r="B282" s="8"/>
      <c r="C282" s="8"/>
      <c r="D282" s="20"/>
      <c r="E282" s="20"/>
      <c r="F282" s="15"/>
      <c r="G282" s="15"/>
      <c r="H282" s="15"/>
      <c r="I282" s="15"/>
      <c r="J282" s="20"/>
      <c r="K282" s="8"/>
      <c r="L282" s="8"/>
    </row>
    <row r="283" spans="1:12">
      <c r="A283" s="8">
        <v>66</v>
      </c>
      <c r="B283" s="8" t="s">
        <v>61</v>
      </c>
      <c r="C283" s="8" t="s">
        <v>12</v>
      </c>
      <c r="D283" s="20">
        <v>10498.35</v>
      </c>
      <c r="E283" s="20">
        <v>558.52</v>
      </c>
      <c r="F283" s="15">
        <v>401.17</v>
      </c>
      <c r="G283" s="15">
        <v>80.61</v>
      </c>
      <c r="H283" s="15">
        <v>73.64</v>
      </c>
      <c r="I283" s="15"/>
      <c r="J283" s="20">
        <f>SUM(D283:I283)</f>
        <v>11612.29</v>
      </c>
      <c r="K283" s="8"/>
      <c r="L283" s="8"/>
    </row>
    <row r="284" spans="1:12">
      <c r="A284" s="8"/>
      <c r="B284" s="8"/>
      <c r="C284" s="8" t="s">
        <v>13</v>
      </c>
      <c r="D284" s="20"/>
      <c r="E284" s="20"/>
      <c r="F284" s="15"/>
      <c r="G284" s="15"/>
      <c r="H284" s="15"/>
      <c r="I284" s="15"/>
      <c r="J284" s="35">
        <f>SUM(D284:I284)</f>
        <v>0</v>
      </c>
      <c r="K284" s="8"/>
      <c r="L284" s="8"/>
    </row>
    <row r="285" spans="1:12" ht="15.75" thickBot="1">
      <c r="A285" s="8"/>
      <c r="B285" s="8"/>
      <c r="C285" s="8" t="s">
        <v>73</v>
      </c>
      <c r="D285" s="29">
        <v>703.25</v>
      </c>
      <c r="E285" s="29">
        <v>37.47</v>
      </c>
      <c r="F285" s="28">
        <v>27.06</v>
      </c>
      <c r="G285" s="27">
        <v>5.58</v>
      </c>
      <c r="H285" s="27">
        <v>5.03</v>
      </c>
      <c r="I285" s="27"/>
      <c r="J285" s="29">
        <f>SUM(D285:I285)</f>
        <v>778.39</v>
      </c>
      <c r="K285" s="8"/>
      <c r="L285" s="8"/>
    </row>
    <row r="286" spans="1:12">
      <c r="A286" s="8"/>
      <c r="B286" s="8"/>
      <c r="C286" s="8"/>
      <c r="D286" s="20"/>
      <c r="E286" s="20"/>
      <c r="F286" s="15"/>
      <c r="G286" s="8"/>
      <c r="H286" s="8"/>
      <c r="I286" s="8"/>
      <c r="J286" s="20"/>
      <c r="K286" s="8"/>
      <c r="L286" s="8"/>
    </row>
    <row r="287" spans="1:12" ht="15.75" thickBot="1">
      <c r="A287" s="8"/>
      <c r="B287" s="8"/>
      <c r="C287" s="8" t="s">
        <v>10</v>
      </c>
      <c r="D287" s="31">
        <f t="shared" ref="D287:I287" si="45">SUM(D283:D285)</f>
        <v>11201.6</v>
      </c>
      <c r="E287" s="31">
        <f t="shared" si="45"/>
        <v>595.99</v>
      </c>
      <c r="F287" s="30">
        <f t="shared" si="45"/>
        <v>428.23</v>
      </c>
      <c r="G287" s="30">
        <f t="shared" si="45"/>
        <v>86.19</v>
      </c>
      <c r="H287" s="30">
        <f t="shared" si="45"/>
        <v>78.67</v>
      </c>
      <c r="I287" s="30">
        <f t="shared" si="45"/>
        <v>0</v>
      </c>
      <c r="J287" s="31">
        <f>SUM(D287:I287)</f>
        <v>12390.68</v>
      </c>
      <c r="K287" s="8"/>
      <c r="L287" s="8"/>
    </row>
    <row r="288" spans="1:12" ht="15.75" thickTop="1">
      <c r="A288" s="8"/>
      <c r="B288" s="8"/>
      <c r="C288" s="8"/>
      <c r="D288" s="20"/>
      <c r="E288" s="20"/>
      <c r="F288" s="15"/>
      <c r="G288" s="15"/>
      <c r="H288" s="15"/>
      <c r="I288" s="15"/>
      <c r="J288" s="20"/>
      <c r="K288" s="8"/>
      <c r="L288" s="8"/>
    </row>
    <row r="289" spans="1:12">
      <c r="A289" s="8"/>
      <c r="B289" s="8"/>
      <c r="C289" s="8"/>
      <c r="D289" s="20"/>
      <c r="E289" s="20"/>
      <c r="F289" s="15"/>
      <c r="G289" s="15"/>
      <c r="H289" s="15"/>
      <c r="I289" s="15"/>
      <c r="J289" s="20"/>
      <c r="K289" s="8"/>
      <c r="L289" s="8"/>
    </row>
    <row r="290" spans="1:12">
      <c r="A290" s="8">
        <v>67</v>
      </c>
      <c r="B290" s="8" t="s">
        <v>62</v>
      </c>
      <c r="C290" s="8" t="s">
        <v>12</v>
      </c>
      <c r="D290" s="20">
        <v>9847.9500000000007</v>
      </c>
      <c r="E290" s="20">
        <v>252</v>
      </c>
      <c r="F290" s="15">
        <v>84.54</v>
      </c>
      <c r="G290" s="15">
        <v>0.88</v>
      </c>
      <c r="H290" s="15"/>
      <c r="I290" s="15"/>
      <c r="J290" s="20">
        <f>SUM(D290:I290)</f>
        <v>10185.370000000001</v>
      </c>
      <c r="K290" s="8"/>
      <c r="L290" s="8"/>
    </row>
    <row r="291" spans="1:12" ht="15.75" thickBot="1">
      <c r="A291" s="8"/>
      <c r="B291" s="8"/>
      <c r="C291" s="8" t="s">
        <v>13</v>
      </c>
      <c r="D291" s="29">
        <v>246.28</v>
      </c>
      <c r="E291" s="29">
        <v>6.73</v>
      </c>
      <c r="F291" s="28">
        <v>2.52</v>
      </c>
      <c r="G291" s="28"/>
      <c r="H291" s="28"/>
      <c r="I291" s="28"/>
      <c r="J291" s="29">
        <f>SUM(D291:I291)</f>
        <v>255.53</v>
      </c>
      <c r="K291" s="8"/>
      <c r="L291" s="8"/>
    </row>
    <row r="292" spans="1:12">
      <c r="A292" s="8"/>
      <c r="B292" s="8"/>
      <c r="C292" s="8"/>
      <c r="D292" s="20"/>
      <c r="E292" s="20"/>
      <c r="F292" s="15"/>
      <c r="G292" s="15"/>
      <c r="H292" s="15"/>
      <c r="I292" s="15"/>
      <c r="J292" s="20"/>
      <c r="K292" s="8"/>
      <c r="L292" s="8"/>
    </row>
    <row r="293" spans="1:12" ht="15.75" thickBot="1">
      <c r="A293" s="8"/>
      <c r="B293" s="8"/>
      <c r="C293" s="8" t="s">
        <v>10</v>
      </c>
      <c r="D293" s="31">
        <f t="shared" ref="D293:I293" si="46">SUM(D290:D291)</f>
        <v>10094.230000000001</v>
      </c>
      <c r="E293" s="31">
        <f t="shared" si="46"/>
        <v>258.73</v>
      </c>
      <c r="F293" s="30">
        <f t="shared" si="46"/>
        <v>87.06</v>
      </c>
      <c r="G293" s="30">
        <f t="shared" si="46"/>
        <v>0.88</v>
      </c>
      <c r="H293" s="30">
        <f t="shared" si="46"/>
        <v>0</v>
      </c>
      <c r="I293" s="30">
        <f t="shared" si="46"/>
        <v>0</v>
      </c>
      <c r="J293" s="31">
        <f>SUM(D293:I293)</f>
        <v>10440.9</v>
      </c>
      <c r="K293" s="8"/>
      <c r="L293" s="8"/>
    </row>
    <row r="294" spans="1:12" ht="15.75" thickTop="1">
      <c r="A294" s="8"/>
      <c r="B294" s="8"/>
      <c r="C294" s="8"/>
      <c r="D294" s="20"/>
      <c r="E294" s="20"/>
      <c r="F294" s="15"/>
      <c r="G294" s="15"/>
      <c r="H294" s="15"/>
      <c r="I294" s="15"/>
      <c r="J294" s="20"/>
      <c r="K294" s="8"/>
      <c r="L294" s="8"/>
    </row>
    <row r="295" spans="1:12">
      <c r="A295" s="8"/>
      <c r="B295" s="8"/>
      <c r="C295" s="8"/>
      <c r="D295" s="20"/>
      <c r="E295" s="20"/>
      <c r="F295" s="15"/>
      <c r="G295" s="15"/>
      <c r="H295" s="15"/>
      <c r="I295" s="15"/>
      <c r="J295" s="20"/>
      <c r="K295" s="8"/>
      <c r="L295" s="8"/>
    </row>
    <row r="296" spans="1:12">
      <c r="A296" s="8">
        <v>68</v>
      </c>
      <c r="B296" s="8" t="s">
        <v>63</v>
      </c>
      <c r="C296" s="8" t="s">
        <v>12</v>
      </c>
      <c r="D296" s="20">
        <v>7299.8</v>
      </c>
      <c r="E296" s="20">
        <v>330.08</v>
      </c>
      <c r="F296" s="15">
        <v>138.08000000000001</v>
      </c>
      <c r="G296" s="15">
        <v>139.19</v>
      </c>
      <c r="H296" s="15"/>
      <c r="I296" s="15"/>
      <c r="J296" s="20">
        <f>SUM(D296:I296)</f>
        <v>7907.15</v>
      </c>
      <c r="K296" s="8"/>
      <c r="L296" s="8"/>
    </row>
    <row r="297" spans="1:12" ht="15.75" thickBot="1">
      <c r="A297" s="8"/>
      <c r="B297" s="8"/>
      <c r="C297" s="8" t="s">
        <v>13</v>
      </c>
      <c r="D297" s="29"/>
      <c r="E297" s="29"/>
      <c r="F297" s="28"/>
      <c r="G297" s="28"/>
      <c r="H297" s="28"/>
      <c r="I297" s="28"/>
      <c r="J297" s="29"/>
      <c r="K297" s="8"/>
      <c r="L297" s="8"/>
    </row>
    <row r="298" spans="1:12">
      <c r="A298" s="8"/>
      <c r="B298" s="8"/>
      <c r="C298" s="8"/>
      <c r="D298" s="20"/>
      <c r="E298" s="20"/>
      <c r="F298" s="15"/>
      <c r="G298" s="15"/>
      <c r="H298" s="15"/>
      <c r="I298" s="15"/>
      <c r="J298" s="20"/>
      <c r="K298" s="8"/>
      <c r="L298" s="8"/>
    </row>
    <row r="299" spans="1:12" ht="15.75" thickBot="1">
      <c r="A299" s="8"/>
      <c r="B299" s="8"/>
      <c r="C299" s="8" t="s">
        <v>10</v>
      </c>
      <c r="D299" s="31">
        <f t="shared" ref="D299:I299" si="47">SUM(D296:D297)</f>
        <v>7299.8</v>
      </c>
      <c r="E299" s="31">
        <f t="shared" si="47"/>
        <v>330.08</v>
      </c>
      <c r="F299" s="30">
        <f t="shared" si="47"/>
        <v>138.08000000000001</v>
      </c>
      <c r="G299" s="30">
        <f t="shared" si="47"/>
        <v>139.19</v>
      </c>
      <c r="H299" s="30">
        <f t="shared" si="47"/>
        <v>0</v>
      </c>
      <c r="I299" s="30">
        <f t="shared" si="47"/>
        <v>0</v>
      </c>
      <c r="J299" s="31">
        <f>SUM(D299:I299)</f>
        <v>7907.15</v>
      </c>
      <c r="K299" s="8"/>
      <c r="L299" s="8"/>
    </row>
    <row r="300" spans="1:12" ht="15.75" thickTop="1">
      <c r="A300" s="8"/>
      <c r="B300" s="8"/>
      <c r="C300" s="8"/>
      <c r="D300" s="20"/>
      <c r="E300" s="20"/>
      <c r="F300" s="15"/>
      <c r="G300" s="15"/>
      <c r="H300" s="15"/>
      <c r="I300" s="15"/>
      <c r="J300" s="20"/>
      <c r="K300" s="8"/>
      <c r="L300" s="8"/>
    </row>
    <row r="301" spans="1:12">
      <c r="A301" s="8"/>
      <c r="B301" s="8"/>
      <c r="C301" s="8"/>
      <c r="D301" s="20"/>
      <c r="E301" s="20"/>
      <c r="F301" s="15"/>
      <c r="G301" s="15"/>
      <c r="H301" s="15"/>
      <c r="I301" s="15"/>
      <c r="J301" s="20"/>
      <c r="K301" s="8"/>
      <c r="L301" s="8"/>
    </row>
    <row r="302" spans="1:12">
      <c r="A302" s="8">
        <v>69</v>
      </c>
      <c r="B302" s="8" t="s">
        <v>64</v>
      </c>
      <c r="C302" s="8" t="s">
        <v>12</v>
      </c>
      <c r="D302" s="20">
        <v>7526.53</v>
      </c>
      <c r="E302" s="20">
        <v>140.6</v>
      </c>
      <c r="F302" s="15">
        <v>134.1</v>
      </c>
      <c r="G302" s="15">
        <v>21.89</v>
      </c>
      <c r="H302" s="15"/>
      <c r="I302" s="15"/>
      <c r="J302" s="20">
        <f>SUM(D302:I302)</f>
        <v>7823.1200000000008</v>
      </c>
      <c r="K302" s="8"/>
      <c r="L302" s="8"/>
    </row>
    <row r="303" spans="1:12" ht="15.75" thickBot="1">
      <c r="A303" s="8"/>
      <c r="B303" s="8"/>
      <c r="C303" s="8" t="s">
        <v>13</v>
      </c>
      <c r="D303" s="29"/>
      <c r="E303" s="29"/>
      <c r="F303" s="28"/>
      <c r="G303" s="28"/>
      <c r="H303" s="28"/>
      <c r="I303" s="28"/>
      <c r="J303" s="34">
        <v>0</v>
      </c>
      <c r="K303" s="8"/>
      <c r="L303" s="8"/>
    </row>
    <row r="304" spans="1:12">
      <c r="A304" s="8"/>
      <c r="B304" s="8"/>
      <c r="C304" s="8"/>
      <c r="D304" s="20"/>
      <c r="E304" s="20"/>
      <c r="F304" s="15"/>
      <c r="G304" s="15"/>
      <c r="H304" s="15"/>
      <c r="I304" s="15"/>
      <c r="J304" s="20"/>
      <c r="K304" s="8"/>
      <c r="L304" s="8"/>
    </row>
    <row r="305" spans="1:12" ht="15.75" thickBot="1">
      <c r="A305" s="8"/>
      <c r="B305" s="8"/>
      <c r="C305" s="8" t="s">
        <v>10</v>
      </c>
      <c r="D305" s="31">
        <f t="shared" ref="D305:I305" si="48">SUM(D302:D303)</f>
        <v>7526.53</v>
      </c>
      <c r="E305" s="31">
        <f t="shared" si="48"/>
        <v>140.6</v>
      </c>
      <c r="F305" s="30">
        <f t="shared" si="48"/>
        <v>134.1</v>
      </c>
      <c r="G305" s="30">
        <f t="shared" si="48"/>
        <v>21.89</v>
      </c>
      <c r="H305" s="30">
        <f t="shared" si="48"/>
        <v>0</v>
      </c>
      <c r="I305" s="30">
        <f t="shared" si="48"/>
        <v>0</v>
      </c>
      <c r="J305" s="31">
        <f>SUM(D305:I305)</f>
        <v>7823.1200000000008</v>
      </c>
      <c r="K305" s="8"/>
      <c r="L305" s="8"/>
    </row>
    <row r="306" spans="1:12" ht="15.75" thickTop="1">
      <c r="A306" s="8"/>
      <c r="B306" s="8"/>
      <c r="C306" s="8"/>
      <c r="D306" s="20"/>
      <c r="E306" s="20"/>
      <c r="F306" s="15"/>
      <c r="G306" s="15"/>
      <c r="H306" s="15"/>
      <c r="I306" s="15"/>
      <c r="J306" s="20"/>
      <c r="K306" s="8"/>
      <c r="L306" s="8"/>
    </row>
    <row r="307" spans="1:12">
      <c r="A307" s="8"/>
      <c r="B307" s="8"/>
      <c r="C307" s="8"/>
      <c r="D307" s="20"/>
      <c r="E307" s="20"/>
      <c r="F307" s="15"/>
      <c r="G307" s="15"/>
      <c r="H307" s="15"/>
      <c r="I307" s="15"/>
      <c r="J307" s="20"/>
      <c r="K307" s="8"/>
      <c r="L307" s="8"/>
    </row>
    <row r="308" spans="1:12">
      <c r="A308" s="8">
        <v>70</v>
      </c>
      <c r="B308" s="8" t="s">
        <v>65</v>
      </c>
      <c r="C308" s="8" t="s">
        <v>12</v>
      </c>
      <c r="D308" s="20">
        <v>7721.25</v>
      </c>
      <c r="E308" s="20">
        <v>97.09</v>
      </c>
      <c r="F308" s="15">
        <v>73.599999999999994</v>
      </c>
      <c r="G308" s="15"/>
      <c r="H308" s="15"/>
      <c r="I308" s="15"/>
      <c r="J308" s="20">
        <f>SUM(D308:I308)</f>
        <v>7891.9400000000005</v>
      </c>
      <c r="K308" s="8"/>
      <c r="L308" s="8"/>
    </row>
    <row r="309" spans="1:12" ht="15.75" thickBot="1">
      <c r="A309" s="8"/>
      <c r="B309" s="8"/>
      <c r="C309" s="8" t="s">
        <v>78</v>
      </c>
      <c r="D309" s="29"/>
      <c r="E309" s="29"/>
      <c r="F309" s="28"/>
      <c r="G309" s="28"/>
      <c r="H309" s="28"/>
      <c r="I309" s="28"/>
      <c r="J309" s="29">
        <f>SUM(D309:I309)</f>
        <v>0</v>
      </c>
      <c r="K309" s="8"/>
      <c r="L309" s="8"/>
    </row>
    <row r="310" spans="1:12">
      <c r="A310" s="8"/>
      <c r="B310" s="8"/>
      <c r="C310" s="8"/>
      <c r="D310" s="20"/>
      <c r="E310" s="20"/>
      <c r="F310" s="15"/>
      <c r="G310" s="15"/>
      <c r="H310" s="15"/>
      <c r="I310" s="15"/>
      <c r="J310" s="20"/>
      <c r="K310" s="8"/>
      <c r="L310" s="8"/>
    </row>
    <row r="311" spans="1:12" ht="15.75" thickBot="1">
      <c r="A311" s="8"/>
      <c r="B311" s="8"/>
      <c r="C311" s="8" t="s">
        <v>10</v>
      </c>
      <c r="D311" s="31">
        <f t="shared" ref="D311:I311" si="49">SUM(D308:D310)</f>
        <v>7721.25</v>
      </c>
      <c r="E311" s="31">
        <f t="shared" si="49"/>
        <v>97.09</v>
      </c>
      <c r="F311" s="30">
        <f t="shared" si="49"/>
        <v>73.599999999999994</v>
      </c>
      <c r="G311" s="30">
        <f t="shared" si="49"/>
        <v>0</v>
      </c>
      <c r="H311" s="30">
        <f t="shared" si="49"/>
        <v>0</v>
      </c>
      <c r="I311" s="30">
        <f t="shared" si="49"/>
        <v>0</v>
      </c>
      <c r="J311" s="31">
        <f>SUM(D311:I311)</f>
        <v>7891.9400000000005</v>
      </c>
      <c r="K311" s="8"/>
      <c r="L311" s="8"/>
    </row>
    <row r="312" spans="1:12" ht="15.75" thickTop="1">
      <c r="A312" s="8"/>
      <c r="B312" s="8"/>
      <c r="C312" s="8"/>
      <c r="D312" s="20"/>
      <c r="E312" s="20"/>
      <c r="F312" s="15"/>
      <c r="G312" s="15"/>
      <c r="H312" s="15"/>
      <c r="I312" s="15"/>
      <c r="J312" s="20"/>
      <c r="K312" s="8"/>
      <c r="L312" s="8"/>
    </row>
    <row r="313" spans="1:12">
      <c r="A313" s="8"/>
      <c r="B313" s="8"/>
      <c r="C313" s="8" t="s">
        <v>66</v>
      </c>
      <c r="D313" s="20">
        <f t="shared" ref="D313:I313" si="50">SUM(D9:D311)/2</f>
        <v>593277.81000000006</v>
      </c>
      <c r="E313" s="20">
        <f t="shared" si="50"/>
        <v>16538.539999999994</v>
      </c>
      <c r="F313" s="15">
        <f t="shared" si="50"/>
        <v>8159.050000000002</v>
      </c>
      <c r="G313" s="15">
        <f t="shared" si="50"/>
        <v>3883.8099999999995</v>
      </c>
      <c r="H313" s="15">
        <f t="shared" si="50"/>
        <v>1809.3900000000008</v>
      </c>
      <c r="I313" s="15">
        <f t="shared" si="50"/>
        <v>0</v>
      </c>
      <c r="J313" s="20">
        <f>SUM(D313:I313)</f>
        <v>623668.60000000021</v>
      </c>
      <c r="K313" s="8"/>
      <c r="L313" s="8"/>
    </row>
    <row r="314" spans="1:12">
      <c r="A314" s="8"/>
      <c r="B314" s="8"/>
      <c r="C314" s="8"/>
      <c r="D314" s="20"/>
      <c r="E314" s="20"/>
      <c r="F314" s="15"/>
      <c r="G314" s="8"/>
      <c r="H314" s="8"/>
      <c r="I314" s="8"/>
      <c r="J314" s="20"/>
      <c r="K314" s="8"/>
      <c r="L314" s="8"/>
    </row>
    <row r="315" spans="1:12">
      <c r="A315" s="8"/>
      <c r="B315" s="8"/>
      <c r="C315" s="8"/>
      <c r="D315" s="20"/>
      <c r="E315" s="20"/>
      <c r="F315" s="8"/>
      <c r="G315" s="8"/>
      <c r="H315" s="8"/>
      <c r="I315" s="8"/>
      <c r="J315" s="20"/>
      <c r="K315" s="8"/>
      <c r="L315" s="8"/>
    </row>
  </sheetData>
  <phoneticPr fontId="0" type="noConversion"/>
  <pageMargins left="0.25" right="0.25" top="0.25" bottom="0.25" header="0.5" footer="0.5"/>
  <pageSetup scale="70" fitToHeight="50" orientation="landscape" r:id="rId1"/>
  <headerFooter alignWithMargins="0"/>
  <rowBreaks count="51" manualBreakCount="51">
    <brk id="7" max="65535" man="1"/>
    <brk id="13" max="16383" man="1"/>
    <brk id="19" max="16383" man="1"/>
    <brk id="25" max="16383" man="1"/>
    <brk id="31" max="16383" man="1"/>
    <brk id="37" max="16383" man="1"/>
    <brk id="44" max="16383" man="1"/>
    <brk id="49" max="65535" man="1"/>
    <brk id="57" max="16383" man="1"/>
    <brk id="65" max="16383" man="1"/>
    <brk id="71" max="16383" man="1"/>
    <brk id="77" max="16383" man="1"/>
    <brk id="85" max="16383" man="1"/>
    <brk id="91" max="16383" man="1"/>
    <brk id="99" max="16383" man="1"/>
    <brk id="104" max="16383" man="1"/>
    <brk id="110" max="16383" man="1"/>
    <brk id="115" max="16383" man="1"/>
    <brk id="123" max="16383" man="1"/>
    <brk id="127" max="9" man="1"/>
    <brk id="133" max="16383" man="1"/>
    <brk id="139" max="16383" man="1"/>
    <brk id="145" max="16383" man="1"/>
    <brk id="153" max="16383" man="1"/>
    <brk id="158" max="9" man="1"/>
    <brk id="163" max="16383" man="1"/>
    <brk id="168" max="16383" man="1"/>
    <brk id="173" max="16383" man="1"/>
    <brk id="178" max="16383" man="1"/>
    <brk id="183" max="16383" man="1"/>
    <brk id="189" max="16383" man="1"/>
    <brk id="196" max="16383" man="1"/>
    <brk id="202" max="16383" man="1"/>
    <brk id="210" max="16383" man="1"/>
    <brk id="216" max="16383" man="1"/>
    <brk id="222" max="16383" man="1"/>
    <brk id="228" max="16383" man="1"/>
    <brk id="234" max="16383" man="1"/>
    <brk id="240" max="16383" man="1"/>
    <brk id="246" max="16383" man="1"/>
    <brk id="251" max="16383" man="1"/>
    <brk id="258" max="16383" man="1"/>
    <brk id="264" max="16383" man="1"/>
    <brk id="270" max="16383" man="1"/>
    <brk id="275" max="16383" man="1"/>
    <brk id="281" max="16383" man="1"/>
    <brk id="288" max="16383" man="1"/>
    <brk id="294" max="16383" man="1"/>
    <brk id="300" max="16383" man="1"/>
    <brk id="306" max="16383" man="1"/>
    <brk id="31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/>
  </sheetPr>
  <dimension ref="A1:L315"/>
  <sheetViews>
    <sheetView showOutlineSymbols="0" defaultGridColor="0" view="pageBreakPreview" topLeftCell="A166" colorId="23" zoomScale="60" zoomScaleNormal="75" workbookViewId="0">
      <selection activeCell="H209" sqref="H209"/>
    </sheetView>
  </sheetViews>
  <sheetFormatPr defaultColWidth="9.6640625" defaultRowHeight="15"/>
  <cols>
    <col min="1" max="1" width="9.6640625" style="10" customWidth="1"/>
    <col min="2" max="2" width="27.44140625" style="10" bestFit="1" customWidth="1"/>
    <col min="3" max="3" width="24.44140625" style="10" bestFit="1" customWidth="1"/>
    <col min="4" max="5" width="12.77734375" style="23" customWidth="1"/>
    <col min="6" max="6" width="12.6640625" style="10" customWidth="1"/>
    <col min="7" max="8" width="11.6640625" style="10" customWidth="1"/>
    <col min="9" max="9" width="9.6640625" style="10" customWidth="1"/>
    <col min="10" max="10" width="14.44140625" style="23" customWidth="1"/>
    <col min="11" max="16384" width="9.6640625" style="10"/>
  </cols>
  <sheetData>
    <row r="1" spans="1:12">
      <c r="A1" s="8"/>
      <c r="B1" s="8"/>
      <c r="C1" s="8"/>
      <c r="D1" s="20"/>
      <c r="E1" s="20"/>
      <c r="F1" s="8"/>
      <c r="G1" s="8"/>
      <c r="H1" s="8"/>
      <c r="I1" s="9"/>
      <c r="J1" s="20"/>
      <c r="K1" s="8"/>
      <c r="L1" s="8"/>
    </row>
    <row r="2" spans="1:12">
      <c r="A2" s="8"/>
      <c r="B2" s="8"/>
      <c r="C2" s="8"/>
      <c r="D2" s="20"/>
      <c r="E2" s="20"/>
      <c r="F2" s="8"/>
      <c r="G2" s="8"/>
      <c r="H2" s="8"/>
      <c r="I2" s="8"/>
      <c r="J2" s="20"/>
      <c r="K2" s="8"/>
      <c r="L2" s="8"/>
    </row>
    <row r="3" spans="1:12">
      <c r="A3" s="8"/>
      <c r="B3" s="8" t="s">
        <v>103</v>
      </c>
      <c r="C3" s="8"/>
      <c r="D3" s="20"/>
      <c r="E3" s="20"/>
      <c r="F3" s="8"/>
      <c r="G3" s="8"/>
      <c r="H3" s="8"/>
      <c r="I3" s="8"/>
      <c r="J3" s="20"/>
      <c r="K3" s="8"/>
      <c r="L3" s="8"/>
    </row>
    <row r="4" spans="1:12" ht="15.75">
      <c r="A4" s="8"/>
      <c r="B4" s="11" t="s">
        <v>1</v>
      </c>
      <c r="C4" s="9"/>
      <c r="D4" s="21"/>
      <c r="E4" s="21"/>
      <c r="F4" s="9"/>
      <c r="G4" s="9"/>
      <c r="H4" s="9"/>
      <c r="I4" s="9"/>
      <c r="J4" s="21"/>
      <c r="K4" s="8"/>
      <c r="L4" s="8"/>
    </row>
    <row r="5" spans="1:12" ht="15.75">
      <c r="A5" s="8"/>
      <c r="B5" s="11" t="s">
        <v>106</v>
      </c>
      <c r="C5" s="9"/>
      <c r="D5" s="21"/>
      <c r="E5" s="21"/>
      <c r="F5" s="9"/>
      <c r="G5" s="9"/>
      <c r="H5" s="9"/>
      <c r="I5" s="9"/>
      <c r="J5" s="21"/>
      <c r="K5" s="8"/>
      <c r="L5" s="8"/>
    </row>
    <row r="6" spans="1:12">
      <c r="A6" s="8"/>
      <c r="B6" s="8"/>
      <c r="C6" s="8"/>
      <c r="D6" s="20"/>
      <c r="E6" s="20"/>
      <c r="F6" s="8"/>
      <c r="G6" s="8"/>
      <c r="H6" s="8"/>
      <c r="I6" s="8"/>
      <c r="J6" s="20"/>
      <c r="K6" s="8"/>
      <c r="L6" s="8"/>
    </row>
    <row r="7" spans="1:12">
      <c r="A7" s="8"/>
      <c r="B7" s="12" t="s">
        <v>3</v>
      </c>
      <c r="C7" s="12" t="s">
        <v>4</v>
      </c>
      <c r="D7" s="37">
        <v>2007</v>
      </c>
      <c r="E7" s="37">
        <v>2006</v>
      </c>
      <c r="F7" s="13">
        <v>2005</v>
      </c>
      <c r="G7" s="13">
        <v>2004</v>
      </c>
      <c r="H7" s="13">
        <v>2003</v>
      </c>
      <c r="I7" s="14">
        <v>2002</v>
      </c>
      <c r="J7" s="22" t="s">
        <v>10</v>
      </c>
      <c r="K7" s="8"/>
      <c r="L7" s="8"/>
    </row>
    <row r="8" spans="1:12">
      <c r="A8" s="8"/>
      <c r="B8" s="8"/>
      <c r="C8" s="8"/>
      <c r="D8" s="20"/>
      <c r="E8" s="20"/>
      <c r="F8" s="8"/>
      <c r="G8" s="8"/>
      <c r="H8" s="8"/>
      <c r="I8" s="8"/>
      <c r="J8" s="20"/>
      <c r="K8" s="8"/>
      <c r="L8" s="8"/>
    </row>
    <row r="9" spans="1:12">
      <c r="A9" s="8">
        <v>21</v>
      </c>
      <c r="B9" s="8" t="s">
        <v>11</v>
      </c>
      <c r="C9" s="8" t="s">
        <v>12</v>
      </c>
      <c r="D9" s="20">
        <v>12079.81</v>
      </c>
      <c r="E9" s="20">
        <v>71.97</v>
      </c>
      <c r="F9" s="15"/>
      <c r="G9" s="15"/>
      <c r="H9" s="15"/>
      <c r="I9" s="15"/>
      <c r="J9" s="20">
        <f>SUM(D9:I9)</f>
        <v>12151.779999999999</v>
      </c>
      <c r="K9" s="8"/>
      <c r="L9" s="8"/>
    </row>
    <row r="10" spans="1:12" ht="15.75" thickBot="1">
      <c r="A10" s="8"/>
      <c r="B10" s="8"/>
      <c r="C10" s="8" t="s">
        <v>13</v>
      </c>
      <c r="D10" s="29">
        <v>197.99</v>
      </c>
      <c r="E10" s="29">
        <v>1.08</v>
      </c>
      <c r="F10" s="28"/>
      <c r="G10" s="28"/>
      <c r="H10" s="28"/>
      <c r="I10" s="28"/>
      <c r="J10" s="29">
        <f>SUM(D10:I10)</f>
        <v>199.07000000000002</v>
      </c>
      <c r="K10" s="8"/>
      <c r="L10" s="8"/>
    </row>
    <row r="11" spans="1:12">
      <c r="A11" s="8"/>
      <c r="B11" s="8"/>
      <c r="C11" s="8"/>
      <c r="D11" s="20"/>
      <c r="E11" s="20"/>
      <c r="F11" s="15"/>
      <c r="G11" s="15"/>
      <c r="H11" s="15"/>
      <c r="I11" s="15"/>
      <c r="J11" s="20"/>
      <c r="K11" s="8"/>
      <c r="L11" s="8"/>
    </row>
    <row r="12" spans="1:12" ht="15.75" thickBot="1">
      <c r="A12" s="8"/>
      <c r="B12" s="8"/>
      <c r="C12" s="8" t="s">
        <v>10</v>
      </c>
      <c r="D12" s="31">
        <f t="shared" ref="D12:I12" si="0">SUM(D9:D10)</f>
        <v>12277.8</v>
      </c>
      <c r="E12" s="31">
        <f t="shared" si="0"/>
        <v>73.05</v>
      </c>
      <c r="F12" s="30">
        <f t="shared" si="0"/>
        <v>0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>SUM(D12:I12)</f>
        <v>12350.849999999999</v>
      </c>
      <c r="K12" s="8"/>
      <c r="L12" s="8"/>
    </row>
    <row r="13" spans="1:12" ht="15.75" thickTop="1">
      <c r="A13" s="8"/>
      <c r="B13" s="8"/>
      <c r="C13" s="8"/>
      <c r="D13" s="20"/>
      <c r="E13" s="20"/>
      <c r="F13" s="15"/>
      <c r="G13" s="8"/>
      <c r="H13" s="8"/>
      <c r="I13" s="8"/>
      <c r="J13" s="20"/>
      <c r="K13" s="8"/>
      <c r="L13" s="8"/>
    </row>
    <row r="14" spans="1:12">
      <c r="A14" s="8"/>
      <c r="B14" s="8"/>
      <c r="C14" s="8"/>
      <c r="D14" s="20"/>
      <c r="E14" s="20"/>
      <c r="F14" s="15"/>
      <c r="G14" s="8"/>
      <c r="H14" s="8"/>
      <c r="I14" s="8"/>
      <c r="J14" s="20"/>
      <c r="K14" s="8"/>
      <c r="L14" s="8"/>
    </row>
    <row r="15" spans="1:12">
      <c r="A15" s="8">
        <v>22</v>
      </c>
      <c r="B15" s="8" t="s">
        <v>15</v>
      </c>
      <c r="C15" s="8" t="s">
        <v>12</v>
      </c>
      <c r="D15" s="20">
        <v>11544.33</v>
      </c>
      <c r="E15" s="20">
        <v>179.3</v>
      </c>
      <c r="F15" s="15">
        <v>181.13</v>
      </c>
      <c r="G15" s="15"/>
      <c r="H15" s="15"/>
      <c r="I15" s="15"/>
      <c r="J15" s="20">
        <f>SUM(D15:I15)</f>
        <v>11904.759999999998</v>
      </c>
      <c r="K15" s="8"/>
      <c r="L15" s="8"/>
    </row>
    <row r="16" spans="1:12" ht="15.75" thickBot="1">
      <c r="A16" s="8"/>
      <c r="B16" s="8"/>
      <c r="C16" s="8" t="s">
        <v>13</v>
      </c>
      <c r="D16" s="29">
        <v>464.7</v>
      </c>
      <c r="E16" s="29">
        <v>7.39</v>
      </c>
      <c r="F16" s="28">
        <v>2.0299999999999998</v>
      </c>
      <c r="G16" s="28"/>
      <c r="H16" s="28"/>
      <c r="I16" s="28"/>
      <c r="J16" s="29">
        <f>SUM(D16:I16)</f>
        <v>474.11999999999995</v>
      </c>
      <c r="K16" s="8"/>
      <c r="L16" s="8"/>
    </row>
    <row r="17" spans="1:12">
      <c r="A17" s="8"/>
      <c r="B17" s="8"/>
      <c r="C17" s="8"/>
      <c r="D17" s="20"/>
      <c r="E17" s="20"/>
      <c r="F17" s="15"/>
      <c r="G17" s="15"/>
      <c r="H17" s="15"/>
      <c r="I17" s="15"/>
      <c r="J17" s="20"/>
      <c r="K17" s="8"/>
      <c r="L17" s="8"/>
    </row>
    <row r="18" spans="1:12" ht="15.75" thickBot="1">
      <c r="A18" s="8"/>
      <c r="B18" s="8"/>
      <c r="C18" s="8" t="s">
        <v>10</v>
      </c>
      <c r="D18" s="31">
        <f t="shared" ref="D18:I18" si="1">SUM(D15:D16)</f>
        <v>12009.03</v>
      </c>
      <c r="E18" s="31">
        <f t="shared" si="1"/>
        <v>186.69</v>
      </c>
      <c r="F18" s="30">
        <f t="shared" si="1"/>
        <v>183.16</v>
      </c>
      <c r="G18" s="30">
        <f t="shared" si="1"/>
        <v>0</v>
      </c>
      <c r="H18" s="30">
        <f t="shared" si="1"/>
        <v>0</v>
      </c>
      <c r="I18" s="30">
        <f t="shared" si="1"/>
        <v>0</v>
      </c>
      <c r="J18" s="31">
        <f>SUM(D18:I18)</f>
        <v>12378.880000000001</v>
      </c>
      <c r="K18" s="8"/>
      <c r="L18" s="8"/>
    </row>
    <row r="19" spans="1:12" ht="15.75" thickTop="1">
      <c r="A19" s="8"/>
      <c r="B19" s="8"/>
      <c r="C19" s="8"/>
      <c r="D19" s="20"/>
      <c r="E19" s="20"/>
      <c r="F19" s="15"/>
      <c r="G19" s="15"/>
      <c r="H19" s="15"/>
      <c r="I19" s="15"/>
      <c r="J19" s="20"/>
      <c r="K19" s="8"/>
      <c r="L19" s="8"/>
    </row>
    <row r="20" spans="1:12">
      <c r="A20" s="8"/>
      <c r="B20" s="8"/>
      <c r="C20" s="8"/>
      <c r="D20" s="20"/>
      <c r="E20" s="20"/>
      <c r="F20" s="15"/>
      <c r="G20" s="15"/>
      <c r="H20" s="15"/>
      <c r="I20" s="15"/>
      <c r="J20" s="20"/>
      <c r="K20" s="8"/>
      <c r="L20" s="8"/>
    </row>
    <row r="21" spans="1:12">
      <c r="A21" s="8">
        <v>23</v>
      </c>
      <c r="B21" s="8" t="s">
        <v>16</v>
      </c>
      <c r="C21" s="8" t="s">
        <v>12</v>
      </c>
      <c r="D21" s="20">
        <v>10606.64</v>
      </c>
      <c r="E21" s="20">
        <v>976.12</v>
      </c>
      <c r="F21" s="15">
        <v>361.51</v>
      </c>
      <c r="G21" s="15">
        <v>381.36</v>
      </c>
      <c r="H21" s="15">
        <v>381.54</v>
      </c>
      <c r="I21" s="15">
        <v>0</v>
      </c>
      <c r="J21" s="20">
        <f>SUM(D21:I21)</f>
        <v>12707.170000000002</v>
      </c>
      <c r="K21" s="8"/>
      <c r="L21" s="8"/>
    </row>
    <row r="22" spans="1:12" ht="15.75" thickBot="1">
      <c r="A22" s="8"/>
      <c r="B22" s="8"/>
      <c r="C22" s="8" t="s">
        <v>13</v>
      </c>
      <c r="D22" s="29"/>
      <c r="E22" s="29"/>
      <c r="F22" s="28"/>
      <c r="G22" s="28"/>
      <c r="H22" s="28"/>
      <c r="I22" s="28"/>
      <c r="J22" s="29">
        <f>SUM(D22:I22)</f>
        <v>0</v>
      </c>
      <c r="K22" s="8"/>
      <c r="L22" s="8"/>
    </row>
    <row r="23" spans="1:12">
      <c r="A23" s="8"/>
      <c r="B23" s="8"/>
      <c r="C23" s="8"/>
      <c r="D23" s="20"/>
      <c r="E23" s="20"/>
      <c r="F23" s="15"/>
      <c r="G23" s="15"/>
      <c r="H23" s="15"/>
      <c r="I23" s="15"/>
      <c r="J23" s="20"/>
      <c r="K23" s="8"/>
      <c r="L23" s="8"/>
    </row>
    <row r="24" spans="1:12" ht="15.75" thickBot="1">
      <c r="A24" s="8"/>
      <c r="B24" s="8"/>
      <c r="C24" s="8" t="s">
        <v>10</v>
      </c>
      <c r="D24" s="31">
        <f t="shared" ref="D24:I24" si="2">SUM(D21:D22)</f>
        <v>10606.64</v>
      </c>
      <c r="E24" s="31">
        <f t="shared" si="2"/>
        <v>976.12</v>
      </c>
      <c r="F24" s="30">
        <f t="shared" si="2"/>
        <v>361.51</v>
      </c>
      <c r="G24" s="30">
        <f t="shared" si="2"/>
        <v>381.36</v>
      </c>
      <c r="H24" s="30">
        <f t="shared" si="2"/>
        <v>381.54</v>
      </c>
      <c r="I24" s="30">
        <f t="shared" si="2"/>
        <v>0</v>
      </c>
      <c r="J24" s="31">
        <f>SUM(D24:I24)</f>
        <v>12707.170000000002</v>
      </c>
      <c r="K24" s="8"/>
      <c r="L24" s="8"/>
    </row>
    <row r="25" spans="1:12" ht="15.75" thickTop="1">
      <c r="A25" s="8"/>
      <c r="B25" s="8"/>
      <c r="C25" s="8"/>
      <c r="D25" s="20"/>
      <c r="E25" s="20"/>
      <c r="F25" s="15"/>
      <c r="G25" s="15"/>
      <c r="H25" s="15"/>
      <c r="I25" s="15"/>
      <c r="J25" s="20"/>
      <c r="K25" s="8"/>
      <c r="L25" s="8"/>
    </row>
    <row r="26" spans="1:12">
      <c r="A26" s="8"/>
      <c r="B26" s="8"/>
      <c r="C26" s="8"/>
      <c r="D26" s="20"/>
      <c r="E26" s="20"/>
      <c r="F26" s="15"/>
      <c r="G26" s="8"/>
      <c r="H26" s="8"/>
      <c r="I26" s="8"/>
      <c r="J26" s="20"/>
      <c r="K26" s="8"/>
      <c r="L26" s="8"/>
    </row>
    <row r="27" spans="1:12">
      <c r="A27" s="8"/>
      <c r="B27" s="8"/>
      <c r="C27" s="8"/>
      <c r="D27" s="20"/>
      <c r="E27" s="20"/>
      <c r="F27" s="15"/>
      <c r="G27" s="15"/>
      <c r="H27" s="15"/>
      <c r="I27" s="15"/>
      <c r="J27" s="20"/>
      <c r="K27" s="8"/>
      <c r="L27" s="8"/>
    </row>
    <row r="28" spans="1:12" ht="15.75" thickBot="1">
      <c r="A28" s="8">
        <v>24</v>
      </c>
      <c r="B28" s="8" t="s">
        <v>17</v>
      </c>
      <c r="C28" s="8" t="s">
        <v>12</v>
      </c>
      <c r="D28" s="29">
        <v>6245.86</v>
      </c>
      <c r="E28" s="29">
        <v>49.63</v>
      </c>
      <c r="F28" s="28">
        <v>0</v>
      </c>
      <c r="G28" s="28"/>
      <c r="H28" s="28">
        <v>0</v>
      </c>
      <c r="I28" s="28">
        <v>0</v>
      </c>
      <c r="J28" s="29">
        <f>SUM(D28:I28)</f>
        <v>6295.49</v>
      </c>
      <c r="K28" s="8"/>
      <c r="L28" s="8"/>
    </row>
    <row r="29" spans="1:12">
      <c r="A29" s="8"/>
      <c r="B29" s="8"/>
      <c r="C29" s="8"/>
      <c r="D29" s="20"/>
      <c r="E29" s="20"/>
      <c r="F29" s="15"/>
      <c r="G29" s="15"/>
      <c r="H29" s="15"/>
      <c r="I29" s="15"/>
      <c r="J29" s="20"/>
      <c r="K29" s="8"/>
      <c r="L29" s="8"/>
    </row>
    <row r="30" spans="1:12" ht="15.75" thickBot="1">
      <c r="A30" s="8"/>
      <c r="B30" s="8"/>
      <c r="C30" s="8" t="s">
        <v>10</v>
      </c>
      <c r="D30" s="31">
        <f t="shared" ref="D30:I30" si="3">SUM(D28:D29)</f>
        <v>6245.86</v>
      </c>
      <c r="E30" s="31">
        <f t="shared" si="3"/>
        <v>49.63</v>
      </c>
      <c r="F30" s="30">
        <f t="shared" si="3"/>
        <v>0</v>
      </c>
      <c r="G30" s="30">
        <f t="shared" si="3"/>
        <v>0</v>
      </c>
      <c r="H30" s="30">
        <f t="shared" si="3"/>
        <v>0</v>
      </c>
      <c r="I30" s="30">
        <f t="shared" si="3"/>
        <v>0</v>
      </c>
      <c r="J30" s="31">
        <f>SUM(D30:I30)</f>
        <v>6295.49</v>
      </c>
      <c r="K30" s="8"/>
      <c r="L30" s="8"/>
    </row>
    <row r="31" spans="1:12" ht="15.75" thickTop="1">
      <c r="A31" s="8"/>
      <c r="B31" s="8"/>
      <c r="C31" s="8"/>
      <c r="D31" s="20"/>
      <c r="E31" s="20"/>
      <c r="F31" s="15"/>
      <c r="G31" s="15"/>
      <c r="H31" s="15"/>
      <c r="I31" s="15"/>
      <c r="J31" s="20"/>
      <c r="K31" s="8"/>
      <c r="L31" s="8"/>
    </row>
    <row r="32" spans="1:12">
      <c r="A32" s="8"/>
      <c r="B32" s="8"/>
      <c r="C32" s="8"/>
      <c r="D32" s="20"/>
      <c r="E32" s="20"/>
      <c r="F32" s="15"/>
      <c r="G32" s="8"/>
      <c r="H32" s="8"/>
      <c r="I32" s="8"/>
      <c r="J32" s="20"/>
      <c r="K32" s="8"/>
      <c r="L32" s="8"/>
    </row>
    <row r="33" spans="1:12">
      <c r="A33" s="8"/>
      <c r="B33" s="8"/>
      <c r="C33" s="8"/>
      <c r="D33" s="20"/>
      <c r="E33" s="20"/>
      <c r="F33" s="15"/>
      <c r="G33" s="15"/>
      <c r="H33" s="15"/>
      <c r="I33" s="15"/>
      <c r="J33" s="20"/>
      <c r="K33" s="8"/>
      <c r="L33" s="8"/>
    </row>
    <row r="34" spans="1:12" ht="15.75" thickBot="1">
      <c r="A34" s="8">
        <v>25</v>
      </c>
      <c r="B34" s="8" t="s">
        <v>18</v>
      </c>
      <c r="C34" s="8" t="s">
        <v>12</v>
      </c>
      <c r="D34" s="29">
        <v>8494.52</v>
      </c>
      <c r="E34" s="29">
        <v>429.84</v>
      </c>
      <c r="F34" s="28">
        <v>80.510000000000005</v>
      </c>
      <c r="G34" s="28">
        <v>0</v>
      </c>
      <c r="H34" s="28">
        <v>0</v>
      </c>
      <c r="I34" s="28">
        <v>0</v>
      </c>
      <c r="J34" s="29">
        <f>SUM(D34:I34)</f>
        <v>9004.8700000000008</v>
      </c>
      <c r="K34" s="8"/>
      <c r="L34" s="8"/>
    </row>
    <row r="35" spans="1:12">
      <c r="A35" s="8"/>
      <c r="B35" s="8"/>
      <c r="C35" s="8"/>
      <c r="D35" s="20"/>
      <c r="E35" s="20"/>
      <c r="F35" s="15"/>
      <c r="G35" s="15"/>
      <c r="H35" s="15"/>
      <c r="I35" s="15"/>
      <c r="J35" s="20"/>
      <c r="K35" s="8"/>
      <c r="L35" s="8"/>
    </row>
    <row r="36" spans="1:12" ht="15.75" thickBot="1">
      <c r="A36" s="8"/>
      <c r="B36" s="8"/>
      <c r="C36" s="8" t="s">
        <v>10</v>
      </c>
      <c r="D36" s="31">
        <f t="shared" ref="D36:I36" si="4">SUM(D34:D35)</f>
        <v>8494.52</v>
      </c>
      <c r="E36" s="31">
        <f t="shared" si="4"/>
        <v>429.84</v>
      </c>
      <c r="F36" s="30">
        <f t="shared" si="4"/>
        <v>80.510000000000005</v>
      </c>
      <c r="G36" s="30">
        <f t="shared" si="4"/>
        <v>0</v>
      </c>
      <c r="H36" s="30">
        <f t="shared" si="4"/>
        <v>0</v>
      </c>
      <c r="I36" s="30">
        <f t="shared" si="4"/>
        <v>0</v>
      </c>
      <c r="J36" s="31">
        <f>SUM(D36:I36)</f>
        <v>9004.8700000000008</v>
      </c>
      <c r="K36" s="8"/>
      <c r="L36" s="8"/>
    </row>
    <row r="37" spans="1:12" ht="15.75" thickTop="1">
      <c r="A37" s="8"/>
      <c r="B37" s="8"/>
      <c r="C37" s="8"/>
      <c r="D37" s="20"/>
      <c r="E37" s="20"/>
      <c r="F37" s="15"/>
      <c r="G37" s="8"/>
      <c r="H37" s="8"/>
      <c r="I37" s="8"/>
      <c r="J37" s="20"/>
      <c r="K37" s="8"/>
      <c r="L37" s="8"/>
    </row>
    <row r="38" spans="1:12">
      <c r="A38" s="8"/>
      <c r="B38" s="8"/>
      <c r="C38" s="8"/>
      <c r="D38" s="20"/>
      <c r="E38" s="20"/>
      <c r="F38" s="15"/>
      <c r="G38" s="15"/>
      <c r="H38" s="15"/>
      <c r="I38" s="15"/>
      <c r="J38" s="20"/>
      <c r="K38" s="8"/>
      <c r="L38" s="8"/>
    </row>
    <row r="39" spans="1:12">
      <c r="A39" s="8"/>
      <c r="B39" s="8"/>
      <c r="C39" s="8"/>
      <c r="D39" s="20"/>
      <c r="E39" s="20"/>
      <c r="F39" s="15"/>
      <c r="G39" s="15"/>
      <c r="H39" s="15"/>
      <c r="I39" s="15"/>
      <c r="J39" s="20"/>
      <c r="K39" s="8"/>
      <c r="L39" s="8"/>
    </row>
    <row r="40" spans="1:12">
      <c r="A40" s="8">
        <v>26</v>
      </c>
      <c r="B40" s="8" t="s">
        <v>19</v>
      </c>
      <c r="C40" s="8" t="s">
        <v>12</v>
      </c>
      <c r="D40" s="20">
        <v>8102.02</v>
      </c>
      <c r="E40" s="20"/>
      <c r="F40" s="15"/>
      <c r="G40" s="15"/>
      <c r="H40" s="15"/>
      <c r="I40" s="15"/>
      <c r="J40" s="20">
        <f>SUM(D40:I40)</f>
        <v>8102.02</v>
      </c>
      <c r="K40" s="8"/>
      <c r="L40" s="8"/>
    </row>
    <row r="41" spans="1:12" ht="15.75" thickBot="1">
      <c r="A41" s="8"/>
      <c r="B41" s="8"/>
      <c r="C41" s="8" t="s">
        <v>13</v>
      </c>
      <c r="D41" s="29">
        <v>119.17</v>
      </c>
      <c r="E41" s="29"/>
      <c r="F41" s="28"/>
      <c r="G41" s="28"/>
      <c r="H41" s="28"/>
      <c r="I41" s="28"/>
      <c r="J41" s="29">
        <f>SUM(D41:I41)</f>
        <v>119.17</v>
      </c>
      <c r="K41" s="8"/>
      <c r="L41" s="8"/>
    </row>
    <row r="42" spans="1:12">
      <c r="A42" s="8"/>
      <c r="B42" s="8"/>
      <c r="C42" s="8"/>
      <c r="D42" s="20"/>
      <c r="E42" s="20"/>
      <c r="F42" s="15"/>
      <c r="G42" s="15"/>
      <c r="H42" s="15"/>
      <c r="I42" s="15"/>
      <c r="J42" s="20"/>
      <c r="K42" s="8"/>
      <c r="L42" s="8"/>
    </row>
    <row r="43" spans="1:12" ht="15.75" thickBot="1">
      <c r="A43" s="8"/>
      <c r="B43" s="8"/>
      <c r="C43" s="8" t="s">
        <v>10</v>
      </c>
      <c r="D43" s="31">
        <f t="shared" ref="D43:I43" si="5">SUM(D40:D41)</f>
        <v>8221.19</v>
      </c>
      <c r="E43" s="31">
        <f t="shared" si="5"/>
        <v>0</v>
      </c>
      <c r="F43" s="30">
        <f t="shared" si="5"/>
        <v>0</v>
      </c>
      <c r="G43" s="30">
        <f t="shared" si="5"/>
        <v>0</v>
      </c>
      <c r="H43" s="30">
        <f t="shared" si="5"/>
        <v>0</v>
      </c>
      <c r="I43" s="30">
        <f t="shared" si="5"/>
        <v>0</v>
      </c>
      <c r="J43" s="31">
        <f>SUM(D43:I43)</f>
        <v>8221.19</v>
      </c>
      <c r="K43" s="8"/>
      <c r="L43" s="8"/>
    </row>
    <row r="44" spans="1:12" ht="15.75" thickTop="1">
      <c r="A44" s="8"/>
      <c r="B44" s="8"/>
      <c r="C44" s="8"/>
      <c r="D44" s="20"/>
      <c r="E44" s="20"/>
      <c r="F44" s="15"/>
      <c r="G44" s="15"/>
      <c r="H44" s="15"/>
      <c r="I44" s="15"/>
      <c r="J44" s="20"/>
      <c r="K44" s="8"/>
      <c r="L44" s="8"/>
    </row>
    <row r="45" spans="1:12">
      <c r="A45" s="8"/>
      <c r="B45" s="8"/>
      <c r="C45" s="8"/>
      <c r="D45" s="20"/>
      <c r="E45" s="20"/>
      <c r="F45" s="15"/>
      <c r="G45" s="15"/>
      <c r="H45" s="15"/>
      <c r="I45" s="15"/>
      <c r="J45" s="20"/>
      <c r="K45" s="8"/>
      <c r="L45" s="8"/>
    </row>
    <row r="46" spans="1:12" ht="15.75" thickBot="1">
      <c r="A46" s="8">
        <v>27</v>
      </c>
      <c r="B46" s="8" t="s">
        <v>20</v>
      </c>
      <c r="C46" s="8" t="s">
        <v>12</v>
      </c>
      <c r="D46" s="29">
        <v>11783.81</v>
      </c>
      <c r="E46" s="29">
        <v>142.6</v>
      </c>
      <c r="F46" s="28">
        <v>105.3</v>
      </c>
      <c r="G46" s="28">
        <v>2.69</v>
      </c>
      <c r="H46" s="28">
        <v>0</v>
      </c>
      <c r="I46" s="28">
        <v>0</v>
      </c>
      <c r="J46" s="29">
        <f>SUM(D46:I46)</f>
        <v>12034.4</v>
      </c>
      <c r="K46" s="8"/>
      <c r="L46" s="8"/>
    </row>
    <row r="47" spans="1:12">
      <c r="A47" s="8"/>
      <c r="B47" s="8"/>
      <c r="C47" s="8"/>
      <c r="D47" s="20"/>
      <c r="E47" s="20"/>
      <c r="F47" s="15"/>
      <c r="G47" s="15"/>
      <c r="H47" s="15"/>
      <c r="I47" s="15"/>
      <c r="J47" s="20"/>
      <c r="K47" s="8"/>
      <c r="L47" s="8"/>
    </row>
    <row r="48" spans="1:12" ht="15.75" thickBot="1">
      <c r="A48" s="8"/>
      <c r="B48" s="8"/>
      <c r="C48" s="8" t="s">
        <v>10</v>
      </c>
      <c r="D48" s="31">
        <f t="shared" ref="D48:I48" si="6">SUM(D46:D47)</f>
        <v>11783.81</v>
      </c>
      <c r="E48" s="31">
        <f t="shared" si="6"/>
        <v>142.6</v>
      </c>
      <c r="F48" s="30">
        <f t="shared" si="6"/>
        <v>105.3</v>
      </c>
      <c r="G48" s="30">
        <f t="shared" si="6"/>
        <v>2.69</v>
      </c>
      <c r="H48" s="30">
        <f t="shared" si="6"/>
        <v>0</v>
      </c>
      <c r="I48" s="30">
        <f t="shared" si="6"/>
        <v>0</v>
      </c>
      <c r="J48" s="31">
        <f>SUM(D48:I48)</f>
        <v>12034.4</v>
      </c>
      <c r="K48" s="8"/>
      <c r="L48" s="8"/>
    </row>
    <row r="49" spans="1:12" ht="15.75" thickTop="1">
      <c r="A49" s="8"/>
      <c r="B49" s="8"/>
      <c r="C49" s="8"/>
      <c r="D49" s="20"/>
      <c r="E49" s="20"/>
      <c r="F49" s="15"/>
      <c r="G49" s="8"/>
      <c r="H49" s="8"/>
      <c r="I49" s="8"/>
      <c r="J49" s="20"/>
      <c r="K49" s="8"/>
      <c r="L49" s="8"/>
    </row>
    <row r="50" spans="1:12">
      <c r="A50" s="8"/>
      <c r="B50" s="8"/>
      <c r="C50" s="8"/>
      <c r="D50" s="20"/>
      <c r="E50" s="20"/>
      <c r="F50" s="15"/>
      <c r="G50" s="8"/>
      <c r="H50" s="8"/>
      <c r="I50" s="8"/>
      <c r="J50" s="20"/>
      <c r="K50" s="8"/>
      <c r="L50" s="8"/>
    </row>
    <row r="51" spans="1:12">
      <c r="A51" s="8"/>
      <c r="B51" s="8"/>
      <c r="C51" s="8"/>
      <c r="D51" s="20"/>
      <c r="E51" s="20"/>
      <c r="F51" s="15"/>
      <c r="G51" s="15"/>
      <c r="H51" s="15"/>
      <c r="I51" s="15"/>
      <c r="J51" s="20"/>
      <c r="K51" s="8"/>
      <c r="L51" s="8"/>
    </row>
    <row r="52" spans="1:12">
      <c r="A52" s="8"/>
      <c r="B52" s="8"/>
      <c r="C52" s="8"/>
      <c r="D52" s="20"/>
      <c r="E52" s="20"/>
      <c r="F52" s="15"/>
      <c r="G52" s="15"/>
      <c r="H52" s="15"/>
      <c r="I52" s="15"/>
      <c r="J52" s="20"/>
      <c r="K52" s="8"/>
      <c r="L52" s="8"/>
    </row>
    <row r="53" spans="1:12">
      <c r="A53" s="8">
        <v>28</v>
      </c>
      <c r="B53" s="8" t="s">
        <v>21</v>
      </c>
      <c r="C53" s="8" t="s">
        <v>12</v>
      </c>
      <c r="D53" s="20">
        <v>6636.98</v>
      </c>
      <c r="E53" s="20">
        <v>213.77</v>
      </c>
      <c r="F53" s="15">
        <v>54.08</v>
      </c>
      <c r="G53" s="15">
        <v>53.07</v>
      </c>
      <c r="H53" s="15"/>
      <c r="I53" s="15"/>
      <c r="J53" s="20">
        <f>SUM(D53:I53)</f>
        <v>6957.9</v>
      </c>
      <c r="K53" s="8"/>
      <c r="L53" s="8"/>
    </row>
    <row r="54" spans="1:12" ht="15.75" thickBot="1">
      <c r="A54" s="8"/>
      <c r="B54" s="8"/>
      <c r="C54" s="8" t="s">
        <v>13</v>
      </c>
      <c r="D54" s="29"/>
      <c r="E54" s="29">
        <v>6.01</v>
      </c>
      <c r="F54" s="28">
        <v>1.68</v>
      </c>
      <c r="G54" s="28">
        <v>1.63</v>
      </c>
      <c r="H54" s="28"/>
      <c r="I54" s="28"/>
      <c r="J54" s="29">
        <f>SUM(D54:I54)</f>
        <v>9.32</v>
      </c>
      <c r="K54" s="8"/>
      <c r="L54" s="8"/>
    </row>
    <row r="55" spans="1:12">
      <c r="A55" s="8"/>
      <c r="B55" s="8"/>
      <c r="C55" s="8"/>
      <c r="D55" s="20"/>
      <c r="E55" s="20"/>
      <c r="F55" s="15"/>
      <c r="G55" s="15"/>
      <c r="H55" s="15"/>
      <c r="I55" s="15"/>
      <c r="J55" s="20"/>
      <c r="K55" s="8"/>
      <c r="L55" s="8"/>
    </row>
    <row r="56" spans="1:12" ht="15.75" thickBot="1">
      <c r="A56" s="8"/>
      <c r="B56" s="8"/>
      <c r="C56" s="8" t="s">
        <v>10</v>
      </c>
      <c r="D56" s="31">
        <f t="shared" ref="D56:I56" si="7">SUM(D53:D54)</f>
        <v>6636.98</v>
      </c>
      <c r="E56" s="31">
        <f t="shared" si="7"/>
        <v>219.78</v>
      </c>
      <c r="F56" s="30">
        <f t="shared" si="7"/>
        <v>55.76</v>
      </c>
      <c r="G56" s="30">
        <f t="shared" si="7"/>
        <v>54.7</v>
      </c>
      <c r="H56" s="30">
        <f t="shared" si="7"/>
        <v>0</v>
      </c>
      <c r="I56" s="30">
        <f t="shared" si="7"/>
        <v>0</v>
      </c>
      <c r="J56" s="31">
        <f>SUM(D56:I56)</f>
        <v>6967.2199999999993</v>
      </c>
      <c r="K56" s="8"/>
      <c r="L56" s="8"/>
    </row>
    <row r="57" spans="1:12" ht="15.75" thickTop="1">
      <c r="A57" s="8"/>
      <c r="B57" s="8"/>
      <c r="C57" s="8"/>
      <c r="D57" s="20"/>
      <c r="E57" s="20"/>
      <c r="F57" s="15"/>
      <c r="G57" s="15"/>
      <c r="H57" s="15"/>
      <c r="I57" s="15"/>
      <c r="J57" s="20"/>
      <c r="K57" s="8"/>
      <c r="L57" s="8"/>
    </row>
    <row r="58" spans="1:12">
      <c r="A58" s="8"/>
      <c r="B58" s="8"/>
      <c r="C58" s="8"/>
      <c r="D58" s="20"/>
      <c r="E58" s="20"/>
      <c r="F58" s="15"/>
      <c r="G58" s="15"/>
      <c r="H58" s="15"/>
      <c r="I58" s="15"/>
      <c r="J58" s="20"/>
      <c r="K58" s="8"/>
      <c r="L58" s="8"/>
    </row>
    <row r="59" spans="1:12">
      <c r="A59" s="8">
        <v>29</v>
      </c>
      <c r="B59" s="8" t="s">
        <v>22</v>
      </c>
      <c r="C59" s="8" t="s">
        <v>12</v>
      </c>
      <c r="D59" s="20">
        <v>9039.9599999999991</v>
      </c>
      <c r="E59" s="20">
        <v>64.41</v>
      </c>
      <c r="F59" s="15"/>
      <c r="G59" s="15"/>
      <c r="H59" s="15"/>
      <c r="I59" s="15"/>
      <c r="J59" s="20">
        <f>SUM(D59:I59)</f>
        <v>9104.369999999999</v>
      </c>
      <c r="K59" s="8"/>
      <c r="L59" s="8"/>
    </row>
    <row r="60" spans="1:12">
      <c r="A60" s="8"/>
      <c r="B60" s="8"/>
      <c r="C60" s="8" t="s">
        <v>35</v>
      </c>
      <c r="D60" s="20">
        <v>428.48</v>
      </c>
      <c r="E60" s="20">
        <v>3.42</v>
      </c>
      <c r="F60" s="15"/>
      <c r="G60" s="15"/>
      <c r="H60" s="15"/>
      <c r="I60" s="15"/>
      <c r="J60" s="20">
        <f>SUM(D60:I60)</f>
        <v>431.90000000000003</v>
      </c>
      <c r="K60" s="8"/>
      <c r="L60" s="8"/>
    </row>
    <row r="61" spans="1:12">
      <c r="A61" s="8"/>
      <c r="B61" s="8"/>
      <c r="C61" s="8" t="s">
        <v>13</v>
      </c>
      <c r="D61" s="20">
        <v>522.63</v>
      </c>
      <c r="E61" s="20">
        <v>3.7</v>
      </c>
      <c r="F61" s="15"/>
      <c r="G61" s="15"/>
      <c r="H61" s="15"/>
      <c r="I61" s="15"/>
      <c r="J61" s="20">
        <f>SUM(D61:I61)</f>
        <v>526.33000000000004</v>
      </c>
      <c r="K61" s="8"/>
      <c r="L61" s="8"/>
    </row>
    <row r="62" spans="1:12" ht="15.75" thickBot="1">
      <c r="A62" s="8"/>
      <c r="B62" s="8"/>
      <c r="C62" s="8" t="s">
        <v>78</v>
      </c>
      <c r="D62" s="29">
        <v>961.67</v>
      </c>
      <c r="E62" s="29">
        <v>7.73</v>
      </c>
      <c r="F62" s="28"/>
      <c r="G62" s="28"/>
      <c r="H62" s="28"/>
      <c r="I62" s="28"/>
      <c r="J62" s="29">
        <f>SUM(D62:I62)</f>
        <v>969.4</v>
      </c>
      <c r="K62" s="8"/>
      <c r="L62" s="8"/>
    </row>
    <row r="63" spans="1:12">
      <c r="A63" s="8"/>
      <c r="B63" s="8"/>
      <c r="C63" s="8"/>
      <c r="D63" s="20"/>
      <c r="E63" s="20"/>
      <c r="F63" s="15"/>
      <c r="G63" s="15"/>
      <c r="H63" s="15"/>
      <c r="I63" s="15"/>
      <c r="J63" s="20"/>
      <c r="K63" s="8"/>
      <c r="L63" s="8"/>
    </row>
    <row r="64" spans="1:12" ht="15.75" thickBot="1">
      <c r="A64" s="8"/>
      <c r="B64" s="8"/>
      <c r="C64" s="8" t="s">
        <v>10</v>
      </c>
      <c r="D64" s="31">
        <f t="shared" ref="D64:I64" si="8">SUM(D59:D62)</f>
        <v>10952.739999999998</v>
      </c>
      <c r="E64" s="31">
        <f t="shared" si="8"/>
        <v>79.260000000000005</v>
      </c>
      <c r="F64" s="30">
        <f t="shared" si="8"/>
        <v>0</v>
      </c>
      <c r="G64" s="30">
        <f t="shared" si="8"/>
        <v>0</v>
      </c>
      <c r="H64" s="30">
        <f t="shared" si="8"/>
        <v>0</v>
      </c>
      <c r="I64" s="30">
        <f t="shared" si="8"/>
        <v>0</v>
      </c>
      <c r="J64" s="31">
        <f>SUM(D64:I64)</f>
        <v>11031.999999999998</v>
      </c>
      <c r="K64" s="8"/>
      <c r="L64" s="8"/>
    </row>
    <row r="65" spans="1:12" ht="15.75" thickTop="1">
      <c r="A65" s="8"/>
      <c r="B65" s="8"/>
      <c r="C65" s="8"/>
      <c r="D65" s="20"/>
      <c r="E65" s="20"/>
      <c r="F65" s="15"/>
      <c r="G65" s="15"/>
      <c r="H65" s="15"/>
      <c r="I65" s="15"/>
      <c r="J65" s="20"/>
      <c r="K65" s="8"/>
      <c r="L65" s="8"/>
    </row>
    <row r="66" spans="1:12">
      <c r="A66" s="8"/>
      <c r="B66" s="8"/>
      <c r="C66" s="8"/>
      <c r="D66" s="20"/>
      <c r="E66" s="20"/>
      <c r="F66" s="15"/>
      <c r="G66" s="15"/>
      <c r="H66" s="15"/>
      <c r="I66" s="15"/>
      <c r="J66" s="20"/>
      <c r="K66" s="8"/>
      <c r="L66" s="8"/>
    </row>
    <row r="67" spans="1:12">
      <c r="A67" s="8">
        <v>30</v>
      </c>
      <c r="B67" s="8" t="s">
        <v>23</v>
      </c>
      <c r="C67" s="8" t="s">
        <v>12</v>
      </c>
      <c r="D67" s="20">
        <v>5706.42</v>
      </c>
      <c r="E67" s="20">
        <v>54.74</v>
      </c>
      <c r="F67" s="15">
        <v>0.36</v>
      </c>
      <c r="G67" s="15">
        <v>0</v>
      </c>
      <c r="H67" s="15">
        <v>0</v>
      </c>
      <c r="I67" s="15">
        <v>0</v>
      </c>
      <c r="J67" s="20">
        <f>SUM(D67:I67)</f>
        <v>5761.5199999999995</v>
      </c>
      <c r="K67" s="8"/>
      <c r="L67" s="8"/>
    </row>
    <row r="68" spans="1:12" ht="15.75" thickBot="1">
      <c r="A68" s="8"/>
      <c r="B68" s="8"/>
      <c r="C68" s="8" t="s">
        <v>13</v>
      </c>
      <c r="D68" s="29"/>
      <c r="E68" s="29"/>
      <c r="F68" s="28"/>
      <c r="G68" s="28"/>
      <c r="H68" s="28"/>
      <c r="I68" s="28"/>
      <c r="J68" s="29"/>
      <c r="K68" s="8"/>
      <c r="L68" s="8"/>
    </row>
    <row r="69" spans="1:12">
      <c r="A69" s="8"/>
      <c r="B69" s="8"/>
      <c r="C69" s="8"/>
      <c r="D69" s="20"/>
      <c r="E69" s="20"/>
      <c r="F69" s="15"/>
      <c r="G69" s="15"/>
      <c r="H69" s="15"/>
      <c r="I69" s="15"/>
      <c r="J69" s="20"/>
      <c r="K69" s="8"/>
      <c r="L69" s="8"/>
    </row>
    <row r="70" spans="1:12" ht="15.75" thickBot="1">
      <c r="A70" s="8"/>
      <c r="B70" s="8"/>
      <c r="C70" s="15" t="s">
        <v>10</v>
      </c>
      <c r="D70" s="31">
        <f t="shared" ref="D70:I70" si="9">SUM(D67:D68)</f>
        <v>5706.42</v>
      </c>
      <c r="E70" s="31">
        <f t="shared" si="9"/>
        <v>54.74</v>
      </c>
      <c r="F70" s="30">
        <f t="shared" si="9"/>
        <v>0.36</v>
      </c>
      <c r="G70" s="30">
        <f t="shared" si="9"/>
        <v>0</v>
      </c>
      <c r="H70" s="30">
        <f t="shared" si="9"/>
        <v>0</v>
      </c>
      <c r="I70" s="30">
        <f t="shared" si="9"/>
        <v>0</v>
      </c>
      <c r="J70" s="31">
        <f>SUM(D70:I70)</f>
        <v>5761.5199999999995</v>
      </c>
      <c r="K70" s="8"/>
      <c r="L70" s="8"/>
    </row>
    <row r="71" spans="1:12" ht="15.75" thickTop="1">
      <c r="A71" s="8"/>
      <c r="B71" s="8"/>
      <c r="C71" s="8"/>
      <c r="D71" s="20"/>
      <c r="E71" s="20"/>
      <c r="F71" s="15"/>
      <c r="G71" s="15"/>
      <c r="H71" s="15"/>
      <c r="I71" s="15"/>
      <c r="J71" s="20"/>
      <c r="K71" s="8"/>
      <c r="L71" s="8"/>
    </row>
    <row r="72" spans="1:12">
      <c r="A72" s="8"/>
      <c r="B72" s="8"/>
      <c r="C72" s="8"/>
      <c r="D72" s="20"/>
      <c r="E72" s="20"/>
      <c r="F72" s="15"/>
      <c r="G72" s="15"/>
      <c r="H72" s="15"/>
      <c r="I72" s="15"/>
      <c r="J72" s="20"/>
      <c r="K72" s="8"/>
      <c r="L72" s="8"/>
    </row>
    <row r="73" spans="1:12">
      <c r="A73" s="8">
        <v>31</v>
      </c>
      <c r="B73" s="8" t="s">
        <v>24</v>
      </c>
      <c r="C73" s="8" t="s">
        <v>12</v>
      </c>
      <c r="D73" s="20">
        <v>2690.92</v>
      </c>
      <c r="E73" s="20">
        <v>40.409999999999997</v>
      </c>
      <c r="F73" s="15"/>
      <c r="G73" s="15"/>
      <c r="H73" s="15"/>
      <c r="I73" s="15"/>
      <c r="J73" s="20">
        <f>SUM(D73:I73)</f>
        <v>2731.33</v>
      </c>
      <c r="K73" s="8"/>
      <c r="L73" s="8"/>
    </row>
    <row r="74" spans="1:12" ht="15.75" thickBot="1">
      <c r="A74" s="8"/>
      <c r="B74" s="8"/>
      <c r="C74" s="8" t="s">
        <v>13</v>
      </c>
      <c r="D74" s="29">
        <v>91.83</v>
      </c>
      <c r="E74" s="29">
        <v>2.17</v>
      </c>
      <c r="F74" s="28"/>
      <c r="G74" s="28"/>
      <c r="H74" s="28"/>
      <c r="I74" s="28"/>
      <c r="J74" s="29">
        <f>SUM(D74:I74)</f>
        <v>94</v>
      </c>
      <c r="K74" s="8"/>
      <c r="L74" s="8"/>
    </row>
    <row r="75" spans="1:12">
      <c r="A75" s="8"/>
      <c r="B75" s="8"/>
      <c r="C75" s="8"/>
      <c r="D75" s="20"/>
      <c r="E75" s="20"/>
      <c r="F75" s="15"/>
      <c r="G75" s="15"/>
      <c r="H75" s="15"/>
      <c r="I75" s="15"/>
      <c r="J75" s="20"/>
      <c r="K75" s="8"/>
      <c r="L75" s="8"/>
    </row>
    <row r="76" spans="1:12" ht="15.75" thickBot="1">
      <c r="A76" s="8"/>
      <c r="B76" s="8"/>
      <c r="C76" s="8" t="s">
        <v>10</v>
      </c>
      <c r="D76" s="31">
        <f t="shared" ref="D76:I76" si="10">SUM(D73:D74)</f>
        <v>2782.75</v>
      </c>
      <c r="E76" s="31">
        <f t="shared" si="10"/>
        <v>42.58</v>
      </c>
      <c r="F76" s="30">
        <f t="shared" si="10"/>
        <v>0</v>
      </c>
      <c r="G76" s="30">
        <f t="shared" si="10"/>
        <v>0</v>
      </c>
      <c r="H76" s="30">
        <f t="shared" si="10"/>
        <v>0</v>
      </c>
      <c r="I76" s="30">
        <f t="shared" si="10"/>
        <v>0</v>
      </c>
      <c r="J76" s="31">
        <f>SUM(D76:I76)</f>
        <v>2825.33</v>
      </c>
      <c r="K76" s="8"/>
      <c r="L76" s="8"/>
    </row>
    <row r="77" spans="1:12" ht="15.75" thickTop="1">
      <c r="A77" s="8"/>
      <c r="B77" s="8"/>
      <c r="C77" s="8"/>
      <c r="D77" s="20"/>
      <c r="E77" s="20"/>
      <c r="F77" s="15"/>
      <c r="G77" s="15"/>
      <c r="H77" s="15"/>
      <c r="I77" s="15"/>
      <c r="J77" s="20"/>
      <c r="K77" s="8"/>
      <c r="L77" s="8"/>
    </row>
    <row r="78" spans="1:12">
      <c r="A78" s="8"/>
      <c r="B78" s="8"/>
      <c r="C78" s="8"/>
      <c r="D78" s="20"/>
      <c r="E78" s="20"/>
      <c r="F78" s="15"/>
      <c r="G78" s="15"/>
      <c r="H78" s="15"/>
      <c r="I78" s="15"/>
      <c r="J78" s="20"/>
      <c r="K78" s="8"/>
      <c r="L78" s="8"/>
    </row>
    <row r="79" spans="1:12">
      <c r="A79" s="8">
        <v>32</v>
      </c>
      <c r="B79" s="8" t="s">
        <v>25</v>
      </c>
      <c r="C79" s="8" t="s">
        <v>12</v>
      </c>
      <c r="D79" s="20">
        <v>16955.759999999998</v>
      </c>
      <c r="E79" s="20">
        <v>90.78</v>
      </c>
      <c r="F79" s="15">
        <v>62.54</v>
      </c>
      <c r="G79" s="15">
        <v>61.99</v>
      </c>
      <c r="H79" s="15">
        <v>58.14</v>
      </c>
      <c r="I79" s="15"/>
      <c r="J79" s="20">
        <f>SUM(D79:I79)</f>
        <v>17229.21</v>
      </c>
      <c r="K79" s="8"/>
      <c r="L79" s="8"/>
    </row>
    <row r="80" spans="1:12">
      <c r="A80" s="8"/>
      <c r="B80" s="8"/>
      <c r="C80" s="8" t="s">
        <v>13</v>
      </c>
      <c r="D80" s="20">
        <v>275.61</v>
      </c>
      <c r="E80" s="20">
        <v>1.37</v>
      </c>
      <c r="F80" s="15">
        <v>1.38</v>
      </c>
      <c r="G80" s="15">
        <v>1.2</v>
      </c>
      <c r="H80" s="15">
        <v>1.21</v>
      </c>
      <c r="I80" s="15"/>
      <c r="J80" s="20">
        <f>SUM(D80:I80)</f>
        <v>280.77</v>
      </c>
      <c r="K80" s="8"/>
      <c r="L80" s="8"/>
    </row>
    <row r="81" spans="1:12">
      <c r="A81" s="8"/>
      <c r="B81" s="8"/>
      <c r="C81" s="8" t="s">
        <v>73</v>
      </c>
      <c r="D81" s="20"/>
      <c r="E81" s="20"/>
      <c r="F81" s="26"/>
      <c r="G81" s="8"/>
      <c r="H81" s="26"/>
      <c r="I81" s="8"/>
      <c r="J81" s="20">
        <f>SUM(D81:I81)</f>
        <v>0</v>
      </c>
      <c r="K81" s="8"/>
      <c r="L81" s="8"/>
    </row>
    <row r="82" spans="1:12" ht="15.75" thickBot="1">
      <c r="A82" s="8"/>
      <c r="B82" s="8"/>
      <c r="C82" s="8" t="s">
        <v>78</v>
      </c>
      <c r="D82" s="29"/>
      <c r="E82" s="29"/>
      <c r="F82" s="33"/>
      <c r="G82" s="27"/>
      <c r="H82" s="27"/>
      <c r="I82" s="27"/>
      <c r="J82" s="29">
        <f>SUM(D82:I82)</f>
        <v>0</v>
      </c>
      <c r="K82" s="8"/>
      <c r="L82" s="8"/>
    </row>
    <row r="83" spans="1:12">
      <c r="A83" s="8"/>
      <c r="B83" s="8"/>
      <c r="C83" s="8"/>
      <c r="D83" s="20"/>
      <c r="E83" s="20"/>
      <c r="F83" s="15"/>
      <c r="G83" s="8"/>
      <c r="H83" s="8"/>
      <c r="I83" s="8"/>
      <c r="J83" s="20"/>
      <c r="K83" s="8"/>
      <c r="L83" s="8"/>
    </row>
    <row r="84" spans="1:12" ht="15.75" thickBot="1">
      <c r="A84" s="8"/>
      <c r="B84" s="8"/>
      <c r="C84" s="8" t="s">
        <v>10</v>
      </c>
      <c r="D84" s="31">
        <f t="shared" ref="D84:I84" si="11">SUM(D79:D82)</f>
        <v>17231.37</v>
      </c>
      <c r="E84" s="31">
        <f t="shared" si="11"/>
        <v>92.15</v>
      </c>
      <c r="F84" s="30">
        <f t="shared" si="11"/>
        <v>63.92</v>
      </c>
      <c r="G84" s="30">
        <f t="shared" si="11"/>
        <v>63.190000000000005</v>
      </c>
      <c r="H84" s="30">
        <f t="shared" si="11"/>
        <v>59.35</v>
      </c>
      <c r="I84" s="30">
        <f t="shared" si="11"/>
        <v>0</v>
      </c>
      <c r="J84" s="31">
        <f>SUM(D84:I84)</f>
        <v>17509.979999999996</v>
      </c>
      <c r="K84" s="8"/>
      <c r="L84" s="8"/>
    </row>
    <row r="85" spans="1:12" ht="15.75" thickTop="1">
      <c r="A85" s="8"/>
      <c r="B85" s="8"/>
      <c r="C85" s="8"/>
      <c r="D85" s="20"/>
      <c r="E85" s="20"/>
      <c r="F85" s="15"/>
      <c r="G85" s="15"/>
      <c r="H85" s="15"/>
      <c r="I85" s="15"/>
      <c r="J85" s="20"/>
      <c r="K85" s="8"/>
      <c r="L85" s="8"/>
    </row>
    <row r="86" spans="1:12">
      <c r="A86" s="8"/>
      <c r="B86" s="8"/>
      <c r="C86" s="8"/>
      <c r="D86" s="20"/>
      <c r="E86" s="20"/>
      <c r="F86" s="15"/>
      <c r="G86" s="15"/>
      <c r="H86" s="15"/>
      <c r="I86" s="15"/>
      <c r="J86" s="20"/>
      <c r="K86" s="8"/>
      <c r="L86" s="8"/>
    </row>
    <row r="87" spans="1:12">
      <c r="A87" s="8">
        <v>33</v>
      </c>
      <c r="B87" s="8" t="s">
        <v>26</v>
      </c>
      <c r="C87" s="8" t="s">
        <v>12</v>
      </c>
      <c r="D87" s="20">
        <v>8535.83</v>
      </c>
      <c r="E87" s="20">
        <v>886.83</v>
      </c>
      <c r="F87" s="15">
        <v>201.8</v>
      </c>
      <c r="G87" s="15">
        <v>100.15</v>
      </c>
      <c r="H87" s="15"/>
      <c r="I87" s="15"/>
      <c r="J87" s="20">
        <f>SUM(D87:I87)</f>
        <v>9724.6099999999988</v>
      </c>
      <c r="K87" s="8"/>
      <c r="L87" s="8"/>
    </row>
    <row r="88" spans="1:12" ht="15.75" thickBot="1">
      <c r="A88" s="8"/>
      <c r="B88" s="8"/>
      <c r="C88" s="8" t="s">
        <v>13</v>
      </c>
      <c r="D88" s="29">
        <v>158.11000000000001</v>
      </c>
      <c r="E88" s="29">
        <v>14.2</v>
      </c>
      <c r="F88" s="28">
        <v>1.1499999999999999</v>
      </c>
      <c r="G88" s="28">
        <v>1.23</v>
      </c>
      <c r="H88" s="28"/>
      <c r="I88" s="28"/>
      <c r="J88" s="29">
        <f>SUM(D88:I88)</f>
        <v>174.69</v>
      </c>
      <c r="K88" s="8"/>
      <c r="L88" s="8"/>
    </row>
    <row r="89" spans="1:12">
      <c r="A89" s="8"/>
      <c r="B89" s="8"/>
      <c r="C89" s="8"/>
      <c r="D89" s="20"/>
      <c r="E89" s="20"/>
      <c r="F89" s="15"/>
      <c r="G89" s="15"/>
      <c r="H89" s="15"/>
      <c r="I89" s="15"/>
      <c r="J89" s="20"/>
      <c r="K89" s="8"/>
      <c r="L89" s="8"/>
    </row>
    <row r="90" spans="1:12" ht="15.75" thickBot="1">
      <c r="A90" s="8"/>
      <c r="B90" s="8"/>
      <c r="C90" s="8" t="s">
        <v>10</v>
      </c>
      <c r="D90" s="31">
        <f t="shared" ref="D90:I90" si="12">SUM(D87:D88)</f>
        <v>8693.94</v>
      </c>
      <c r="E90" s="31">
        <f t="shared" si="12"/>
        <v>901.03000000000009</v>
      </c>
      <c r="F90" s="30">
        <f t="shared" si="12"/>
        <v>202.95000000000002</v>
      </c>
      <c r="G90" s="30">
        <f t="shared" si="12"/>
        <v>101.38000000000001</v>
      </c>
      <c r="H90" s="30">
        <f t="shared" si="12"/>
        <v>0</v>
      </c>
      <c r="I90" s="30">
        <f t="shared" si="12"/>
        <v>0</v>
      </c>
      <c r="J90" s="31">
        <f>SUM(D90:I90)</f>
        <v>9899.3000000000011</v>
      </c>
      <c r="K90" s="8"/>
      <c r="L90" s="8"/>
    </row>
    <row r="91" spans="1:12" ht="15.75" thickTop="1">
      <c r="A91" s="8"/>
      <c r="B91" s="8"/>
      <c r="C91" s="8"/>
      <c r="D91" s="20"/>
      <c r="E91" s="20"/>
      <c r="F91" s="15"/>
      <c r="G91" s="15"/>
      <c r="H91" s="15"/>
      <c r="I91" s="15"/>
      <c r="J91" s="20"/>
      <c r="K91" s="8"/>
      <c r="L91" s="8"/>
    </row>
    <row r="92" spans="1:12">
      <c r="A92" s="8"/>
      <c r="B92" s="8"/>
      <c r="C92" s="8"/>
      <c r="D92" s="20"/>
      <c r="E92" s="20"/>
      <c r="F92" s="15"/>
      <c r="G92" s="15"/>
      <c r="H92" s="15"/>
      <c r="I92" s="15"/>
      <c r="J92" s="20"/>
      <c r="K92" s="8"/>
      <c r="L92" s="8"/>
    </row>
    <row r="93" spans="1:12">
      <c r="A93" s="8">
        <v>34</v>
      </c>
      <c r="B93" s="8" t="s">
        <v>27</v>
      </c>
      <c r="C93" s="8" t="s">
        <v>12</v>
      </c>
      <c r="D93" s="20">
        <v>12646.7</v>
      </c>
      <c r="E93" s="20">
        <v>150.91999999999999</v>
      </c>
      <c r="F93" s="15"/>
      <c r="G93" s="15"/>
      <c r="H93" s="15"/>
      <c r="I93" s="15"/>
      <c r="J93" s="20">
        <f>SUM(D93:I93)</f>
        <v>12797.62</v>
      </c>
      <c r="K93" s="8"/>
      <c r="L93" s="8"/>
    </row>
    <row r="94" spans="1:12">
      <c r="A94" s="8"/>
      <c r="B94" s="8"/>
      <c r="C94" s="8" t="s">
        <v>35</v>
      </c>
      <c r="D94" s="20">
        <v>513.89</v>
      </c>
      <c r="E94" s="20">
        <v>6.01</v>
      </c>
      <c r="F94" s="15"/>
      <c r="G94" s="15"/>
      <c r="H94" s="15"/>
      <c r="I94" s="15"/>
      <c r="J94" s="20"/>
      <c r="K94" s="8"/>
      <c r="L94" s="8"/>
    </row>
    <row r="95" spans="1:12">
      <c r="A95" s="8"/>
      <c r="B95" s="8"/>
      <c r="C95" s="8" t="s">
        <v>13</v>
      </c>
      <c r="D95" s="20">
        <v>493.35</v>
      </c>
      <c r="E95" s="20">
        <v>5.54</v>
      </c>
      <c r="F95" s="15"/>
      <c r="G95" s="15"/>
      <c r="H95" s="15"/>
      <c r="I95" s="15"/>
      <c r="J95" s="20">
        <f>SUM(D95:I95)</f>
        <v>498.89000000000004</v>
      </c>
      <c r="K95" s="8"/>
      <c r="L95" s="8"/>
    </row>
    <row r="96" spans="1:12" ht="15.75" thickBot="1">
      <c r="A96" s="8"/>
      <c r="B96" s="8"/>
      <c r="C96" s="8" t="s">
        <v>78</v>
      </c>
      <c r="D96" s="29">
        <v>1207.56</v>
      </c>
      <c r="E96" s="29">
        <v>14.33</v>
      </c>
      <c r="F96" s="28"/>
      <c r="G96" s="28"/>
      <c r="H96" s="28"/>
      <c r="I96" s="28"/>
      <c r="J96" s="29">
        <f>SUM(D96:I96)</f>
        <v>1221.8899999999999</v>
      </c>
      <c r="K96" s="8"/>
      <c r="L96" s="8"/>
    </row>
    <row r="97" spans="1:12">
      <c r="A97" s="8"/>
      <c r="B97" s="8"/>
      <c r="C97" s="8"/>
      <c r="D97" s="20"/>
      <c r="E97" s="20"/>
      <c r="F97" s="15"/>
      <c r="G97" s="15"/>
      <c r="H97" s="15"/>
      <c r="I97" s="15"/>
      <c r="J97" s="20"/>
      <c r="K97" s="8"/>
      <c r="L97" s="8"/>
    </row>
    <row r="98" spans="1:12" ht="15.75" thickBot="1">
      <c r="A98" s="8"/>
      <c r="B98" s="8"/>
      <c r="C98" s="8" t="s">
        <v>10</v>
      </c>
      <c r="D98" s="31">
        <f t="shared" ref="D98:I98" si="13">SUM(D93:D97)</f>
        <v>14861.5</v>
      </c>
      <c r="E98" s="31">
        <f t="shared" si="13"/>
        <v>176.79999999999998</v>
      </c>
      <c r="F98" s="30">
        <f t="shared" si="13"/>
        <v>0</v>
      </c>
      <c r="G98" s="30">
        <f t="shared" si="13"/>
        <v>0</v>
      </c>
      <c r="H98" s="30">
        <f t="shared" si="13"/>
        <v>0</v>
      </c>
      <c r="I98" s="30">
        <f t="shared" si="13"/>
        <v>0</v>
      </c>
      <c r="J98" s="31">
        <f>SUM(D98:I98)</f>
        <v>15038.3</v>
      </c>
      <c r="K98" s="8"/>
      <c r="L98" s="8"/>
    </row>
    <row r="99" spans="1:12" ht="15.75" thickTop="1">
      <c r="A99" s="8"/>
      <c r="B99" s="8"/>
      <c r="C99" s="8"/>
      <c r="D99" s="20"/>
      <c r="E99" s="20"/>
      <c r="F99" s="15"/>
      <c r="G99" s="15"/>
      <c r="H99" s="15"/>
      <c r="I99" s="15"/>
      <c r="J99" s="20"/>
      <c r="K99" s="8"/>
      <c r="L99" s="8"/>
    </row>
    <row r="100" spans="1:12">
      <c r="A100" s="8"/>
      <c r="B100" s="8"/>
      <c r="C100" s="8"/>
      <c r="D100" s="20"/>
      <c r="E100" s="20"/>
      <c r="F100" s="15"/>
      <c r="G100" s="15"/>
      <c r="H100" s="15"/>
      <c r="I100" s="15"/>
      <c r="J100" s="20"/>
      <c r="K100" s="8"/>
      <c r="L100" s="8"/>
    </row>
    <row r="101" spans="1:12" ht="15.75" thickBot="1">
      <c r="A101" s="8">
        <v>35</v>
      </c>
      <c r="B101" s="8" t="s">
        <v>28</v>
      </c>
      <c r="C101" s="8" t="s">
        <v>12</v>
      </c>
      <c r="D101" s="29">
        <v>6068.74</v>
      </c>
      <c r="E101" s="29">
        <v>73.97</v>
      </c>
      <c r="F101" s="28">
        <v>2.93</v>
      </c>
      <c r="G101" s="28">
        <v>3.21</v>
      </c>
      <c r="H101" s="28">
        <v>0</v>
      </c>
      <c r="I101" s="28">
        <v>0</v>
      </c>
      <c r="J101" s="29">
        <f>SUM(D101:I101)</f>
        <v>6148.85</v>
      </c>
      <c r="K101" s="8"/>
      <c r="L101" s="8"/>
    </row>
    <row r="102" spans="1:12">
      <c r="A102" s="8"/>
      <c r="B102" s="8"/>
      <c r="C102" s="8"/>
      <c r="D102" s="20"/>
      <c r="E102" s="20"/>
      <c r="F102" s="15"/>
      <c r="G102" s="15"/>
      <c r="H102" s="15"/>
      <c r="I102" s="15"/>
      <c r="J102" s="20"/>
      <c r="K102" s="8"/>
      <c r="L102" s="8"/>
    </row>
    <row r="103" spans="1:12" ht="15.75" thickBot="1">
      <c r="A103" s="8"/>
      <c r="B103" s="8"/>
      <c r="C103" s="8" t="s">
        <v>10</v>
      </c>
      <c r="D103" s="31">
        <f t="shared" ref="D103:I103" si="14">SUM(D101:D102)</f>
        <v>6068.74</v>
      </c>
      <c r="E103" s="31">
        <f t="shared" si="14"/>
        <v>73.97</v>
      </c>
      <c r="F103" s="30">
        <f t="shared" si="14"/>
        <v>2.93</v>
      </c>
      <c r="G103" s="30">
        <f t="shared" si="14"/>
        <v>3.21</v>
      </c>
      <c r="H103" s="30">
        <f t="shared" si="14"/>
        <v>0</v>
      </c>
      <c r="I103" s="30">
        <f t="shared" si="14"/>
        <v>0</v>
      </c>
      <c r="J103" s="31">
        <f>SUM(D103:I103)</f>
        <v>6148.85</v>
      </c>
      <c r="K103" s="8"/>
      <c r="L103" s="8"/>
    </row>
    <row r="104" spans="1:12" ht="15.75" thickTop="1">
      <c r="A104" s="8"/>
      <c r="B104" s="8"/>
      <c r="C104" s="8"/>
      <c r="D104" s="20"/>
      <c r="E104" s="20"/>
      <c r="F104" s="15"/>
      <c r="G104" s="15"/>
      <c r="H104" s="15"/>
      <c r="I104" s="15"/>
      <c r="J104" s="20"/>
      <c r="K104" s="8"/>
      <c r="L104" s="8"/>
    </row>
    <row r="105" spans="1:12">
      <c r="A105" s="8"/>
      <c r="B105" s="8"/>
      <c r="C105" s="8"/>
      <c r="D105" s="20"/>
      <c r="E105" s="20"/>
      <c r="F105" s="15"/>
      <c r="G105" s="15"/>
      <c r="H105" s="15"/>
      <c r="I105" s="15"/>
      <c r="J105" s="20"/>
      <c r="K105" s="8"/>
      <c r="L105" s="8"/>
    </row>
    <row r="106" spans="1:12">
      <c r="A106" s="8">
        <v>36</v>
      </c>
      <c r="B106" s="8" t="s">
        <v>29</v>
      </c>
      <c r="C106" s="8" t="s">
        <v>12</v>
      </c>
      <c r="D106" s="20">
        <v>7892.37</v>
      </c>
      <c r="E106" s="20">
        <v>34.840000000000003</v>
      </c>
      <c r="F106" s="15">
        <v>34.46</v>
      </c>
      <c r="G106" s="15">
        <v>34.590000000000003</v>
      </c>
      <c r="H106" s="15"/>
      <c r="I106" s="15"/>
      <c r="J106" s="20">
        <f>SUM(D106:I106)</f>
        <v>7996.26</v>
      </c>
      <c r="K106" s="8"/>
      <c r="L106" s="8"/>
    </row>
    <row r="107" spans="1:12" ht="15.75" thickBot="1">
      <c r="A107" s="8"/>
      <c r="B107" s="8"/>
      <c r="C107" s="8" t="s">
        <v>13</v>
      </c>
      <c r="D107" s="29">
        <v>310.08999999999997</v>
      </c>
      <c r="E107" s="29">
        <v>1.93</v>
      </c>
      <c r="F107" s="28">
        <v>2.65</v>
      </c>
      <c r="G107" s="28">
        <v>2.4900000000000002</v>
      </c>
      <c r="H107" s="28"/>
      <c r="I107" s="28"/>
      <c r="J107" s="29">
        <f>SUM(D107:I107)</f>
        <v>317.15999999999997</v>
      </c>
      <c r="K107" s="8"/>
      <c r="L107" s="8"/>
    </row>
    <row r="108" spans="1:12">
      <c r="A108" s="8"/>
      <c r="B108" s="8"/>
      <c r="C108" s="8"/>
      <c r="D108" s="20"/>
      <c r="E108" s="20"/>
      <c r="F108" s="15"/>
      <c r="G108" s="15"/>
      <c r="H108" s="15"/>
      <c r="I108" s="15"/>
      <c r="J108" s="20"/>
      <c r="K108" s="8"/>
      <c r="L108" s="8"/>
    </row>
    <row r="109" spans="1:12" ht="15.75" thickBot="1">
      <c r="A109" s="8"/>
      <c r="B109" s="8"/>
      <c r="C109" s="8" t="s">
        <v>10</v>
      </c>
      <c r="D109" s="31">
        <f t="shared" ref="D109:I109" si="15">SUM(D106:D107)</f>
        <v>8202.4599999999991</v>
      </c>
      <c r="E109" s="31">
        <f t="shared" si="15"/>
        <v>36.770000000000003</v>
      </c>
      <c r="F109" s="30">
        <f t="shared" si="15"/>
        <v>37.11</v>
      </c>
      <c r="G109" s="30">
        <f t="shared" si="15"/>
        <v>37.080000000000005</v>
      </c>
      <c r="H109" s="30">
        <f t="shared" si="15"/>
        <v>0</v>
      </c>
      <c r="I109" s="30">
        <f t="shared" si="15"/>
        <v>0</v>
      </c>
      <c r="J109" s="31">
        <f>SUM(D109:I109)</f>
        <v>8313.42</v>
      </c>
      <c r="K109" s="8"/>
      <c r="L109" s="8"/>
    </row>
    <row r="110" spans="1:12" ht="15.75" thickTop="1">
      <c r="A110" s="8"/>
      <c r="B110" s="8"/>
      <c r="C110" s="8"/>
      <c r="D110" s="20"/>
      <c r="E110" s="20"/>
      <c r="F110" s="15"/>
      <c r="G110" s="15"/>
      <c r="H110" s="15"/>
      <c r="I110" s="15"/>
      <c r="J110" s="20"/>
      <c r="K110" s="8"/>
      <c r="L110" s="8"/>
    </row>
    <row r="111" spans="1:12">
      <c r="A111" s="8"/>
      <c r="B111" s="8"/>
      <c r="C111" s="8"/>
      <c r="D111" s="20"/>
      <c r="E111" s="20"/>
      <c r="F111" s="15"/>
      <c r="G111" s="15"/>
      <c r="H111" s="15"/>
      <c r="I111" s="15"/>
      <c r="J111" s="20"/>
      <c r="K111" s="8"/>
      <c r="L111" s="8"/>
    </row>
    <row r="112" spans="1:12" ht="15.75" thickBot="1">
      <c r="A112" s="8">
        <v>37</v>
      </c>
      <c r="B112" s="8" t="s">
        <v>30</v>
      </c>
      <c r="C112" s="8" t="s">
        <v>12</v>
      </c>
      <c r="D112" s="29">
        <v>6402.24</v>
      </c>
      <c r="E112" s="29">
        <v>628.55999999999995</v>
      </c>
      <c r="F112" s="28">
        <v>507.04</v>
      </c>
      <c r="G112" s="28">
        <v>495.89</v>
      </c>
      <c r="H112" s="28">
        <v>187.86</v>
      </c>
      <c r="I112" s="28">
        <v>0</v>
      </c>
      <c r="J112" s="29">
        <f>SUM(D112:I112)</f>
        <v>8221.59</v>
      </c>
      <c r="K112" s="8"/>
      <c r="L112" s="8"/>
    </row>
    <row r="113" spans="1:12">
      <c r="A113" s="8"/>
      <c r="B113" s="8"/>
      <c r="C113" s="8"/>
      <c r="D113" s="20"/>
      <c r="E113" s="20"/>
      <c r="F113" s="15"/>
      <c r="G113" s="15"/>
      <c r="H113" s="15"/>
      <c r="I113" s="15"/>
      <c r="J113" s="20"/>
      <c r="K113" s="8"/>
      <c r="L113" s="8"/>
    </row>
    <row r="114" spans="1:12" ht="15.75" thickBot="1">
      <c r="A114" s="8"/>
      <c r="B114" s="8"/>
      <c r="C114" s="8" t="s">
        <v>10</v>
      </c>
      <c r="D114" s="31">
        <f t="shared" ref="D114:I114" si="16">SUM(D112:D113)</f>
        <v>6402.24</v>
      </c>
      <c r="E114" s="31">
        <f t="shared" si="16"/>
        <v>628.55999999999995</v>
      </c>
      <c r="F114" s="30">
        <f t="shared" si="16"/>
        <v>507.04</v>
      </c>
      <c r="G114" s="30">
        <f t="shared" si="16"/>
        <v>495.89</v>
      </c>
      <c r="H114" s="30">
        <f t="shared" si="16"/>
        <v>187.86</v>
      </c>
      <c r="I114" s="30">
        <f t="shared" si="16"/>
        <v>0</v>
      </c>
      <c r="J114" s="31">
        <f>SUM(D114:I114)</f>
        <v>8221.59</v>
      </c>
      <c r="K114" s="8"/>
      <c r="L114" s="8"/>
    </row>
    <row r="115" spans="1:12" ht="15.75" thickTop="1">
      <c r="A115" s="8"/>
      <c r="B115" s="8"/>
      <c r="C115" s="8"/>
      <c r="D115" s="20"/>
      <c r="E115" s="20"/>
      <c r="F115" s="15"/>
      <c r="G115" s="15"/>
      <c r="H115" s="15"/>
      <c r="I115" s="15"/>
      <c r="J115" s="20"/>
      <c r="K115" s="8"/>
      <c r="L115" s="8"/>
    </row>
    <row r="116" spans="1:12">
      <c r="A116" s="8"/>
      <c r="B116" s="8"/>
      <c r="C116" s="8"/>
      <c r="D116" s="20"/>
      <c r="E116" s="20"/>
      <c r="F116" s="15"/>
      <c r="G116" s="15"/>
      <c r="H116" s="15"/>
      <c r="I116" s="15"/>
      <c r="J116" s="20"/>
      <c r="K116" s="8"/>
      <c r="L116" s="8"/>
    </row>
    <row r="117" spans="1:12">
      <c r="A117" s="8">
        <v>38</v>
      </c>
      <c r="B117" s="8" t="s">
        <v>31</v>
      </c>
      <c r="C117" s="8" t="s">
        <v>12</v>
      </c>
      <c r="D117" s="20">
        <v>7182.02</v>
      </c>
      <c r="E117" s="20">
        <v>568.44000000000005</v>
      </c>
      <c r="F117" s="15">
        <v>2.73</v>
      </c>
      <c r="G117" s="15">
        <v>2.71</v>
      </c>
      <c r="H117" s="15"/>
      <c r="I117" s="15"/>
      <c r="J117" s="20">
        <f>SUM(D117:I117)</f>
        <v>7755.9000000000005</v>
      </c>
      <c r="K117" s="8"/>
      <c r="L117" s="8"/>
    </row>
    <row r="118" spans="1:12">
      <c r="A118" s="8"/>
      <c r="B118" s="8"/>
      <c r="C118" s="8" t="s">
        <v>35</v>
      </c>
      <c r="D118" s="20">
        <v>677.97</v>
      </c>
      <c r="E118" s="20">
        <v>63.08</v>
      </c>
      <c r="F118" s="15">
        <v>0.37</v>
      </c>
      <c r="G118" s="15">
        <v>0.18</v>
      </c>
      <c r="H118" s="15"/>
      <c r="I118" s="15"/>
      <c r="J118" s="20">
        <f>SUM(D118:I118)</f>
        <v>741.6</v>
      </c>
      <c r="K118" s="8"/>
      <c r="L118" s="8"/>
    </row>
    <row r="119" spans="1:12">
      <c r="A119" s="8"/>
      <c r="B119" s="8"/>
      <c r="C119" s="8" t="s">
        <v>13</v>
      </c>
      <c r="D119" s="20">
        <v>441.47</v>
      </c>
      <c r="E119" s="20">
        <v>38.82</v>
      </c>
      <c r="F119" s="15">
        <v>0.26</v>
      </c>
      <c r="G119" s="15">
        <v>0.31</v>
      </c>
      <c r="H119" s="15"/>
      <c r="I119" s="15"/>
      <c r="J119" s="20">
        <f>SUM(D119:I119)</f>
        <v>480.86</v>
      </c>
      <c r="K119" s="8"/>
      <c r="L119" s="8"/>
    </row>
    <row r="120" spans="1:12" ht="15.75" thickBot="1">
      <c r="A120" s="8"/>
      <c r="B120" s="8"/>
      <c r="C120" s="8" t="s">
        <v>78</v>
      </c>
      <c r="D120" s="29">
        <v>941.17</v>
      </c>
      <c r="E120" s="29">
        <v>96.49</v>
      </c>
      <c r="F120" s="28">
        <v>0.52</v>
      </c>
      <c r="G120" s="28">
        <v>0.54</v>
      </c>
      <c r="H120" s="28"/>
      <c r="I120" s="28"/>
      <c r="J120" s="29">
        <f>SUM(D120:I120)</f>
        <v>1038.7199999999998</v>
      </c>
      <c r="K120" s="8"/>
      <c r="L120" s="8"/>
    </row>
    <row r="121" spans="1:12">
      <c r="A121" s="8"/>
      <c r="B121" s="8"/>
      <c r="C121" s="8"/>
      <c r="D121" s="20"/>
      <c r="E121" s="20"/>
      <c r="F121" s="15"/>
      <c r="G121" s="15"/>
      <c r="H121" s="15"/>
      <c r="I121" s="15"/>
      <c r="J121" s="20"/>
      <c r="K121" s="8"/>
      <c r="L121" s="8"/>
    </row>
    <row r="122" spans="1:12" ht="15.75" thickBot="1">
      <c r="A122" s="8"/>
      <c r="B122" s="8"/>
      <c r="C122" s="8" t="s">
        <v>10</v>
      </c>
      <c r="D122" s="31">
        <f t="shared" ref="D122:I122" si="17">SUM(D117:D120)</f>
        <v>9242.630000000001</v>
      </c>
      <c r="E122" s="31">
        <f t="shared" si="17"/>
        <v>766.83000000000015</v>
      </c>
      <c r="F122" s="30">
        <f t="shared" si="17"/>
        <v>3.8800000000000003</v>
      </c>
      <c r="G122" s="30">
        <f t="shared" si="17"/>
        <v>3.74</v>
      </c>
      <c r="H122" s="30">
        <f t="shared" si="17"/>
        <v>0</v>
      </c>
      <c r="I122" s="30">
        <f t="shared" si="17"/>
        <v>0</v>
      </c>
      <c r="J122" s="31">
        <f>SUM(D122:I122)</f>
        <v>10017.08</v>
      </c>
      <c r="K122" s="8"/>
      <c r="L122" s="8"/>
    </row>
    <row r="123" spans="1:12" ht="15.75" thickTop="1">
      <c r="A123" s="8"/>
      <c r="B123" s="8"/>
      <c r="C123" s="8"/>
      <c r="D123" s="20"/>
      <c r="E123" s="20"/>
      <c r="F123" s="15"/>
      <c r="G123" s="15"/>
      <c r="H123" s="15"/>
      <c r="I123" s="15"/>
      <c r="J123" s="20"/>
      <c r="K123" s="8"/>
      <c r="L123" s="8"/>
    </row>
    <row r="124" spans="1:12">
      <c r="A124" s="8"/>
      <c r="B124" s="8"/>
      <c r="C124" s="8"/>
      <c r="D124" s="20"/>
      <c r="E124" s="20"/>
      <c r="F124" s="15"/>
      <c r="G124" s="15"/>
      <c r="H124" s="15"/>
      <c r="I124" s="15"/>
      <c r="J124" s="20"/>
      <c r="K124" s="8"/>
      <c r="L124" s="8"/>
    </row>
    <row r="125" spans="1:12" ht="15.75" thickBot="1">
      <c r="A125" s="8">
        <v>39</v>
      </c>
      <c r="B125" s="8" t="s">
        <v>32</v>
      </c>
      <c r="C125" s="8" t="s">
        <v>12</v>
      </c>
      <c r="D125" s="29"/>
      <c r="E125" s="29">
        <v>0</v>
      </c>
      <c r="F125" s="28">
        <v>0</v>
      </c>
      <c r="G125" s="28">
        <v>0</v>
      </c>
      <c r="H125" s="28">
        <v>0</v>
      </c>
      <c r="I125" s="28">
        <v>0</v>
      </c>
      <c r="J125" s="29">
        <f>SUM(D125:I125)</f>
        <v>0</v>
      </c>
      <c r="K125" s="8"/>
      <c r="L125" s="8"/>
    </row>
    <row r="126" spans="1:12">
      <c r="A126" s="8"/>
      <c r="B126" s="8"/>
      <c r="C126" s="8"/>
      <c r="D126" s="20"/>
      <c r="E126" s="20"/>
      <c r="F126" s="15"/>
      <c r="G126" s="15"/>
      <c r="H126" s="15"/>
      <c r="I126" s="15"/>
      <c r="J126" s="20"/>
      <c r="K126" s="8"/>
      <c r="L126" s="8"/>
    </row>
    <row r="127" spans="1:12" ht="15.75" thickBot="1">
      <c r="A127" s="8"/>
      <c r="B127" s="8"/>
      <c r="C127" s="8" t="s">
        <v>10</v>
      </c>
      <c r="D127" s="31">
        <f t="shared" ref="D127:J127" si="18">D125</f>
        <v>0</v>
      </c>
      <c r="E127" s="31">
        <f t="shared" si="18"/>
        <v>0</v>
      </c>
      <c r="F127" s="30">
        <f t="shared" si="18"/>
        <v>0</v>
      </c>
      <c r="G127" s="30">
        <f t="shared" si="18"/>
        <v>0</v>
      </c>
      <c r="H127" s="30">
        <f t="shared" si="18"/>
        <v>0</v>
      </c>
      <c r="I127" s="30">
        <f t="shared" si="18"/>
        <v>0</v>
      </c>
      <c r="J127" s="30">
        <f t="shared" si="18"/>
        <v>0</v>
      </c>
      <c r="K127" s="8"/>
      <c r="L127" s="8"/>
    </row>
    <row r="128" spans="1:12" ht="15.75" thickTop="1">
      <c r="A128" s="8"/>
      <c r="B128" s="8"/>
      <c r="C128" s="8"/>
      <c r="D128" s="20"/>
      <c r="E128" s="20"/>
      <c r="F128" s="15"/>
      <c r="G128" s="15"/>
      <c r="H128" s="15"/>
      <c r="I128" s="15"/>
      <c r="J128" s="20"/>
      <c r="K128" s="8"/>
      <c r="L128" s="8"/>
    </row>
    <row r="129" spans="1:12">
      <c r="A129" s="8"/>
      <c r="B129" s="8"/>
      <c r="C129" s="8"/>
      <c r="D129" s="20"/>
      <c r="E129" s="20"/>
      <c r="F129" s="15"/>
      <c r="G129" s="15"/>
      <c r="H129" s="15"/>
      <c r="I129" s="15"/>
      <c r="J129" s="20"/>
      <c r="K129" s="8"/>
      <c r="L129" s="8"/>
    </row>
    <row r="130" spans="1:12" ht="15.75" thickBot="1">
      <c r="A130" s="8">
        <v>40</v>
      </c>
      <c r="B130" s="8" t="s">
        <v>33</v>
      </c>
      <c r="C130" s="8" t="s">
        <v>12</v>
      </c>
      <c r="D130" s="29">
        <v>9783.2199999999993</v>
      </c>
      <c r="E130" s="29">
        <v>3.04</v>
      </c>
      <c r="F130" s="28">
        <v>0</v>
      </c>
      <c r="G130" s="28">
        <v>0</v>
      </c>
      <c r="H130" s="28">
        <v>0</v>
      </c>
      <c r="I130" s="28">
        <v>0</v>
      </c>
      <c r="J130" s="29">
        <f>SUM(D130:I130)</f>
        <v>9786.26</v>
      </c>
      <c r="K130" s="8"/>
      <c r="L130" s="8"/>
    </row>
    <row r="131" spans="1:12">
      <c r="A131" s="8"/>
      <c r="B131" s="8"/>
      <c r="C131" s="8"/>
      <c r="D131" s="20"/>
      <c r="E131" s="20"/>
      <c r="F131" s="15"/>
      <c r="G131" s="15"/>
      <c r="H131" s="15"/>
      <c r="I131" s="15"/>
      <c r="J131" s="20"/>
      <c r="K131" s="8"/>
      <c r="L131" s="8"/>
    </row>
    <row r="132" spans="1:12" ht="15.75" thickBot="1">
      <c r="A132" s="8"/>
      <c r="B132" s="8"/>
      <c r="C132" s="8" t="s">
        <v>10</v>
      </c>
      <c r="D132" s="31">
        <f t="shared" ref="D132:I132" si="19">SUM(D130:D131)</f>
        <v>9783.2199999999993</v>
      </c>
      <c r="E132" s="31">
        <f t="shared" si="19"/>
        <v>3.04</v>
      </c>
      <c r="F132" s="30">
        <f t="shared" si="19"/>
        <v>0</v>
      </c>
      <c r="G132" s="30">
        <f t="shared" si="19"/>
        <v>0</v>
      </c>
      <c r="H132" s="30">
        <f t="shared" si="19"/>
        <v>0</v>
      </c>
      <c r="I132" s="30">
        <f t="shared" si="19"/>
        <v>0</v>
      </c>
      <c r="J132" s="31">
        <f>SUM(D132:I132)</f>
        <v>9786.26</v>
      </c>
      <c r="K132" s="8"/>
      <c r="L132" s="8"/>
    </row>
    <row r="133" spans="1:12" ht="15.75" thickTop="1">
      <c r="A133" s="8"/>
      <c r="B133" s="8"/>
      <c r="C133" s="8"/>
      <c r="D133" s="20"/>
      <c r="E133" s="20"/>
      <c r="F133" s="15"/>
      <c r="G133" s="15"/>
      <c r="H133" s="15"/>
      <c r="I133" s="15"/>
      <c r="J133" s="20"/>
      <c r="K133" s="8"/>
      <c r="L133" s="8"/>
    </row>
    <row r="134" spans="1:12">
      <c r="A134" s="8"/>
      <c r="B134" s="8"/>
      <c r="C134" s="8"/>
      <c r="D134" s="20"/>
      <c r="E134" s="20"/>
      <c r="F134" s="15"/>
      <c r="G134" s="15"/>
      <c r="H134" s="15"/>
      <c r="I134" s="15"/>
      <c r="J134" s="20"/>
      <c r="K134" s="8"/>
      <c r="L134" s="8"/>
    </row>
    <row r="135" spans="1:12">
      <c r="A135" s="8">
        <v>41</v>
      </c>
      <c r="B135" s="8" t="s">
        <v>34</v>
      </c>
      <c r="C135" s="8" t="s">
        <v>12</v>
      </c>
      <c r="D135" s="20">
        <v>7740.89</v>
      </c>
      <c r="E135" s="20">
        <v>398.29</v>
      </c>
      <c r="F135" s="15"/>
      <c r="G135" s="15"/>
      <c r="H135" s="15"/>
      <c r="I135" s="15"/>
      <c r="J135" s="20">
        <f>SUM(D135:I135)</f>
        <v>8139.18</v>
      </c>
      <c r="K135" s="8"/>
      <c r="L135" s="8"/>
    </row>
    <row r="136" spans="1:12" ht="15.75" thickBot="1">
      <c r="A136" s="8"/>
      <c r="B136" s="8"/>
      <c r="C136" s="8" t="s">
        <v>35</v>
      </c>
      <c r="D136" s="29">
        <v>297.52999999999997</v>
      </c>
      <c r="E136" s="29">
        <v>15.44</v>
      </c>
      <c r="F136" s="28"/>
      <c r="G136" s="28"/>
      <c r="H136" s="28"/>
      <c r="I136" s="28"/>
      <c r="J136" s="29">
        <f>SUM(D136:I136)</f>
        <v>312.96999999999997</v>
      </c>
      <c r="K136" s="8"/>
      <c r="L136" s="8"/>
    </row>
    <row r="137" spans="1:12">
      <c r="A137" s="8"/>
      <c r="B137" s="8"/>
      <c r="C137" s="8"/>
      <c r="D137" s="20"/>
      <c r="E137" s="20"/>
      <c r="F137" s="15"/>
      <c r="G137" s="15"/>
      <c r="H137" s="15"/>
      <c r="I137" s="15"/>
      <c r="J137" s="20"/>
      <c r="K137" s="8"/>
      <c r="L137" s="8"/>
    </row>
    <row r="138" spans="1:12" ht="15.75" thickBot="1">
      <c r="A138" s="8"/>
      <c r="B138" s="8"/>
      <c r="C138" s="8" t="s">
        <v>10</v>
      </c>
      <c r="D138" s="31">
        <f t="shared" ref="D138:I138" si="20">SUM(D135:D136)</f>
        <v>8038.42</v>
      </c>
      <c r="E138" s="31">
        <f t="shared" si="20"/>
        <v>413.73</v>
      </c>
      <c r="F138" s="30">
        <f t="shared" si="20"/>
        <v>0</v>
      </c>
      <c r="G138" s="30">
        <f t="shared" si="20"/>
        <v>0</v>
      </c>
      <c r="H138" s="30">
        <f t="shared" si="20"/>
        <v>0</v>
      </c>
      <c r="I138" s="30">
        <f t="shared" si="20"/>
        <v>0</v>
      </c>
      <c r="J138" s="31">
        <f>SUM(D138:I138)</f>
        <v>8452.15</v>
      </c>
      <c r="K138" s="8"/>
      <c r="L138" s="8"/>
    </row>
    <row r="139" spans="1:12" ht="15.75" thickTop="1">
      <c r="A139" s="8"/>
      <c r="B139" s="8"/>
      <c r="C139" s="8"/>
      <c r="D139" s="20"/>
      <c r="E139" s="20"/>
      <c r="F139" s="15"/>
      <c r="G139" s="15"/>
      <c r="H139" s="15"/>
      <c r="I139" s="15"/>
      <c r="J139" s="20"/>
      <c r="K139" s="8"/>
      <c r="L139" s="8"/>
    </row>
    <row r="140" spans="1:12">
      <c r="A140" s="8"/>
      <c r="B140" s="8"/>
      <c r="C140" s="8"/>
      <c r="D140" s="20"/>
      <c r="E140" s="20"/>
      <c r="F140" s="15"/>
      <c r="G140" s="15"/>
      <c r="H140" s="15"/>
      <c r="I140" s="15"/>
      <c r="J140" s="20"/>
      <c r="K140" s="8"/>
      <c r="L140" s="8"/>
    </row>
    <row r="141" spans="1:12">
      <c r="A141" s="8">
        <v>42</v>
      </c>
      <c r="B141" s="8" t="s">
        <v>36</v>
      </c>
      <c r="C141" s="8" t="s">
        <v>12</v>
      </c>
      <c r="D141" s="20">
        <v>6685.16</v>
      </c>
      <c r="E141" s="20"/>
      <c r="F141" s="15"/>
      <c r="G141" s="15"/>
      <c r="H141" s="15"/>
      <c r="I141" s="15"/>
      <c r="J141" s="20">
        <f>SUM(D141:I141)</f>
        <v>6685.16</v>
      </c>
      <c r="K141" s="8"/>
      <c r="L141" s="8"/>
    </row>
    <row r="142" spans="1:12" ht="15.75" thickBot="1">
      <c r="A142" s="8"/>
      <c r="B142" s="8"/>
      <c r="C142" s="8" t="s">
        <v>13</v>
      </c>
      <c r="D142" s="29">
        <v>353.34</v>
      </c>
      <c r="E142" s="29"/>
      <c r="F142" s="28"/>
      <c r="G142" s="28"/>
      <c r="H142" s="28"/>
      <c r="I142" s="28"/>
      <c r="J142" s="29">
        <f>SUM(D142:I142)</f>
        <v>353.34</v>
      </c>
      <c r="K142" s="8"/>
      <c r="L142" s="8"/>
    </row>
    <row r="143" spans="1:12">
      <c r="A143" s="8"/>
      <c r="B143" s="8"/>
      <c r="C143" s="8"/>
      <c r="D143" s="20"/>
      <c r="E143" s="20"/>
      <c r="F143" s="15"/>
      <c r="G143" s="15"/>
      <c r="H143" s="15"/>
      <c r="I143" s="15"/>
      <c r="J143" s="20"/>
      <c r="K143" s="8"/>
      <c r="L143" s="8"/>
    </row>
    <row r="144" spans="1:12" ht="15.75" thickBot="1">
      <c r="A144" s="8"/>
      <c r="B144" s="8"/>
      <c r="C144" s="8" t="s">
        <v>10</v>
      </c>
      <c r="D144" s="31">
        <f t="shared" ref="D144:I144" si="21">SUM(D141:D142)</f>
        <v>7038.5</v>
      </c>
      <c r="E144" s="31">
        <f t="shared" si="21"/>
        <v>0</v>
      </c>
      <c r="F144" s="30">
        <f t="shared" si="21"/>
        <v>0</v>
      </c>
      <c r="G144" s="30">
        <f t="shared" si="21"/>
        <v>0</v>
      </c>
      <c r="H144" s="30">
        <f t="shared" si="21"/>
        <v>0</v>
      </c>
      <c r="I144" s="30">
        <f t="shared" si="21"/>
        <v>0</v>
      </c>
      <c r="J144" s="31">
        <f>SUM(D144:I144)</f>
        <v>7038.5</v>
      </c>
      <c r="K144" s="8"/>
      <c r="L144" s="8"/>
    </row>
    <row r="145" spans="1:12" ht="15.75" thickTop="1">
      <c r="A145" s="8"/>
      <c r="B145" s="8"/>
      <c r="C145" s="8"/>
      <c r="D145" s="20"/>
      <c r="E145" s="20"/>
      <c r="F145" s="15"/>
      <c r="G145" s="15"/>
      <c r="H145" s="15"/>
      <c r="I145" s="15"/>
      <c r="J145" s="20"/>
      <c r="K145" s="8"/>
      <c r="L145" s="8"/>
    </row>
    <row r="146" spans="1:12">
      <c r="A146" s="8"/>
      <c r="B146" s="8"/>
      <c r="C146" s="8"/>
      <c r="D146" s="20"/>
      <c r="E146" s="20"/>
      <c r="F146" s="15"/>
      <c r="G146" s="15"/>
      <c r="H146" s="15"/>
      <c r="I146" s="15"/>
      <c r="J146" s="20"/>
      <c r="K146" s="8"/>
      <c r="L146" s="8"/>
    </row>
    <row r="147" spans="1:12">
      <c r="A147" s="8">
        <v>43</v>
      </c>
      <c r="B147" s="8" t="s">
        <v>37</v>
      </c>
      <c r="C147" s="8" t="s">
        <v>12</v>
      </c>
      <c r="D147" s="20">
        <v>7474.86</v>
      </c>
      <c r="E147" s="20">
        <v>3.1</v>
      </c>
      <c r="F147" s="15"/>
      <c r="G147" s="15"/>
      <c r="H147" s="15"/>
      <c r="I147" s="15"/>
      <c r="J147" s="20">
        <f>SUM(D147:I147)</f>
        <v>7477.96</v>
      </c>
      <c r="K147" s="8"/>
      <c r="L147" s="8"/>
    </row>
    <row r="148" spans="1:12">
      <c r="A148" s="8"/>
      <c r="B148" s="8"/>
      <c r="C148" s="8" t="s">
        <v>35</v>
      </c>
      <c r="D148" s="20">
        <v>414.96</v>
      </c>
      <c r="E148" s="20">
        <v>7.0000000000000007E-2</v>
      </c>
      <c r="F148" s="15"/>
      <c r="G148" s="15"/>
      <c r="H148" s="15"/>
      <c r="I148" s="15"/>
      <c r="J148" s="20">
        <f>SUM(D148:I148)</f>
        <v>415.03</v>
      </c>
      <c r="K148" s="8"/>
      <c r="L148" s="8"/>
    </row>
    <row r="149" spans="1:12">
      <c r="A149" s="8"/>
      <c r="B149" s="8"/>
      <c r="C149" s="8" t="s">
        <v>13</v>
      </c>
      <c r="D149" s="20">
        <v>414.96</v>
      </c>
      <c r="E149" s="20">
        <v>0.3</v>
      </c>
      <c r="F149" s="15"/>
      <c r="G149" s="15"/>
      <c r="H149" s="15"/>
      <c r="I149" s="15"/>
      <c r="J149" s="20">
        <f>SUM(D149:I149)</f>
        <v>415.26</v>
      </c>
      <c r="K149" s="8"/>
      <c r="L149" s="8"/>
    </row>
    <row r="150" spans="1:12" ht="15.75" thickBot="1">
      <c r="A150" s="8"/>
      <c r="B150" s="8"/>
      <c r="C150" s="8" t="s">
        <v>78</v>
      </c>
      <c r="D150" s="29">
        <v>1245.43</v>
      </c>
      <c r="E150" s="29">
        <v>0.36</v>
      </c>
      <c r="F150" s="28"/>
      <c r="G150" s="28"/>
      <c r="H150" s="28"/>
      <c r="I150" s="28"/>
      <c r="J150" s="29">
        <f>SUM(D150:I150)</f>
        <v>1245.79</v>
      </c>
      <c r="K150" s="8"/>
      <c r="L150" s="8"/>
    </row>
    <row r="151" spans="1:12">
      <c r="A151" s="8"/>
      <c r="B151" s="8"/>
      <c r="C151" s="8"/>
      <c r="D151" s="20"/>
      <c r="E151" s="20"/>
      <c r="F151" s="15"/>
      <c r="G151" s="15"/>
      <c r="H151" s="15"/>
      <c r="I151" s="15"/>
      <c r="J151" s="20"/>
      <c r="K151" s="8"/>
      <c r="L151" s="8"/>
    </row>
    <row r="152" spans="1:12" ht="15.75" thickBot="1">
      <c r="A152" s="8"/>
      <c r="B152" s="8"/>
      <c r="C152" s="8" t="s">
        <v>10</v>
      </c>
      <c r="D152" s="31">
        <f t="shared" ref="D152:I152" si="22">SUM(D147:D150)</f>
        <v>9550.2099999999991</v>
      </c>
      <c r="E152" s="31">
        <f t="shared" si="22"/>
        <v>3.8299999999999996</v>
      </c>
      <c r="F152" s="30">
        <f t="shared" si="22"/>
        <v>0</v>
      </c>
      <c r="G152" s="30">
        <f t="shared" si="22"/>
        <v>0</v>
      </c>
      <c r="H152" s="30">
        <f t="shared" si="22"/>
        <v>0</v>
      </c>
      <c r="I152" s="30">
        <f t="shared" si="22"/>
        <v>0</v>
      </c>
      <c r="J152" s="31">
        <f>SUM(D152:I152)</f>
        <v>9554.0399999999991</v>
      </c>
      <c r="K152" s="8"/>
      <c r="L152" s="8"/>
    </row>
    <row r="153" spans="1:12" ht="15.75" thickTop="1">
      <c r="A153" s="8"/>
      <c r="B153" s="8"/>
      <c r="C153" s="8"/>
      <c r="D153" s="20"/>
      <c r="E153" s="20"/>
      <c r="F153" s="15"/>
      <c r="G153" s="15"/>
      <c r="H153" s="15"/>
      <c r="I153" s="15"/>
      <c r="J153" s="20"/>
      <c r="K153" s="8"/>
      <c r="L153" s="8"/>
    </row>
    <row r="154" spans="1:12">
      <c r="A154" s="8"/>
      <c r="B154" s="8"/>
      <c r="C154" s="8"/>
      <c r="D154" s="20"/>
      <c r="E154" s="20"/>
      <c r="F154" s="15"/>
      <c r="G154" s="15"/>
      <c r="H154" s="15"/>
      <c r="I154" s="15"/>
      <c r="J154" s="20"/>
      <c r="K154" s="8"/>
      <c r="L154" s="8"/>
    </row>
    <row r="155" spans="1:12" ht="15.75" thickBot="1">
      <c r="A155" s="8">
        <v>44</v>
      </c>
      <c r="B155" s="8" t="s">
        <v>38</v>
      </c>
      <c r="C155" s="8" t="s">
        <v>12</v>
      </c>
      <c r="D155" s="29">
        <v>14647.99</v>
      </c>
      <c r="E155" s="29">
        <v>111.82</v>
      </c>
      <c r="F155" s="28">
        <v>49.77</v>
      </c>
      <c r="G155" s="28"/>
      <c r="H155" s="28">
        <v>0</v>
      </c>
      <c r="I155" s="28">
        <v>0</v>
      </c>
      <c r="J155" s="29">
        <f>SUM(D155:I155)</f>
        <v>14809.58</v>
      </c>
      <c r="K155" s="8"/>
      <c r="L155" s="8"/>
    </row>
    <row r="156" spans="1:12">
      <c r="A156" s="8"/>
      <c r="B156" s="8"/>
      <c r="C156" s="8"/>
      <c r="D156" s="20"/>
      <c r="E156" s="20"/>
      <c r="F156" s="15"/>
      <c r="G156" s="15"/>
      <c r="H156" s="15"/>
      <c r="I156" s="15"/>
      <c r="J156" s="20"/>
      <c r="K156" s="8"/>
      <c r="L156" s="8"/>
    </row>
    <row r="157" spans="1:12" ht="15.75" thickBot="1">
      <c r="A157" s="8"/>
      <c r="B157" s="8"/>
      <c r="C157" s="8" t="s">
        <v>10</v>
      </c>
      <c r="D157" s="31">
        <f t="shared" ref="D157:I157" si="23">SUM(D155:D156)</f>
        <v>14647.99</v>
      </c>
      <c r="E157" s="31">
        <f t="shared" si="23"/>
        <v>111.82</v>
      </c>
      <c r="F157" s="30">
        <f t="shared" si="23"/>
        <v>49.77</v>
      </c>
      <c r="G157" s="30">
        <f t="shared" si="23"/>
        <v>0</v>
      </c>
      <c r="H157" s="30">
        <f t="shared" si="23"/>
        <v>0</v>
      </c>
      <c r="I157" s="30">
        <f t="shared" si="23"/>
        <v>0</v>
      </c>
      <c r="J157" s="31">
        <f>SUM(D157:I157)</f>
        <v>14809.58</v>
      </c>
      <c r="K157" s="8"/>
      <c r="L157" s="8"/>
    </row>
    <row r="158" spans="1:12" ht="15.75" thickTop="1">
      <c r="A158" s="8"/>
      <c r="B158" s="8"/>
      <c r="C158" s="8"/>
      <c r="D158" s="20"/>
      <c r="E158" s="20"/>
      <c r="F158" s="15"/>
      <c r="G158" s="15" t="s">
        <v>70</v>
      </c>
      <c r="H158" s="15" t="s">
        <v>70</v>
      </c>
      <c r="I158" s="15" t="s">
        <v>70</v>
      </c>
      <c r="J158" s="20"/>
      <c r="K158" s="8"/>
      <c r="L158" s="8"/>
    </row>
    <row r="159" spans="1:12">
      <c r="A159" s="8"/>
      <c r="B159" s="8"/>
      <c r="C159" s="8"/>
      <c r="D159" s="20"/>
      <c r="E159" s="20"/>
      <c r="F159" s="15"/>
      <c r="G159" s="15"/>
      <c r="H159" s="15"/>
      <c r="I159" s="15"/>
      <c r="J159" s="20"/>
      <c r="K159" s="8"/>
      <c r="L159" s="8"/>
    </row>
    <row r="160" spans="1:12" ht="15.75" thickBot="1">
      <c r="A160" s="8">
        <v>45</v>
      </c>
      <c r="B160" s="8" t="s">
        <v>39</v>
      </c>
      <c r="C160" s="8" t="s">
        <v>12</v>
      </c>
      <c r="D160" s="29">
        <v>6496.33</v>
      </c>
      <c r="E160" s="29">
        <v>57.36</v>
      </c>
      <c r="F160" s="28">
        <v>53.85</v>
      </c>
      <c r="G160" s="28">
        <v>49.65</v>
      </c>
      <c r="H160" s="28">
        <v>44.44</v>
      </c>
      <c r="I160" s="28">
        <v>0</v>
      </c>
      <c r="J160" s="29">
        <f>SUM(D160:I160)</f>
        <v>6701.6299999999992</v>
      </c>
      <c r="K160" s="8"/>
      <c r="L160" s="8"/>
    </row>
    <row r="161" spans="1:12">
      <c r="A161" s="8"/>
      <c r="B161" s="8"/>
      <c r="C161" s="8"/>
      <c r="D161" s="20"/>
      <c r="E161" s="20"/>
      <c r="F161" s="15"/>
      <c r="G161" s="15"/>
      <c r="H161" s="15"/>
      <c r="I161" s="15"/>
      <c r="J161" s="20"/>
      <c r="K161" s="8"/>
      <c r="L161" s="8"/>
    </row>
    <row r="162" spans="1:12" ht="15.75" thickBot="1">
      <c r="A162" s="8"/>
      <c r="B162" s="8"/>
      <c r="C162" s="8" t="s">
        <v>10</v>
      </c>
      <c r="D162" s="31">
        <f t="shared" ref="D162:I162" si="24">SUM(D160:D161)</f>
        <v>6496.33</v>
      </c>
      <c r="E162" s="31">
        <f t="shared" si="24"/>
        <v>57.36</v>
      </c>
      <c r="F162" s="30">
        <f t="shared" si="24"/>
        <v>53.85</v>
      </c>
      <c r="G162" s="30">
        <f t="shared" si="24"/>
        <v>49.65</v>
      </c>
      <c r="H162" s="30">
        <f t="shared" si="24"/>
        <v>44.44</v>
      </c>
      <c r="I162" s="30">
        <f t="shared" si="24"/>
        <v>0</v>
      </c>
      <c r="J162" s="31">
        <f>SUM(D162:I162)</f>
        <v>6701.6299999999992</v>
      </c>
      <c r="K162" s="8"/>
      <c r="L162" s="8"/>
    </row>
    <row r="163" spans="1:12" ht="15.75" thickTop="1">
      <c r="A163" s="8"/>
      <c r="B163" s="8"/>
      <c r="C163" s="8"/>
      <c r="D163" s="20"/>
      <c r="E163" s="20"/>
      <c r="F163" s="15"/>
      <c r="G163" s="15"/>
      <c r="H163" s="15"/>
      <c r="I163" s="15"/>
      <c r="J163" s="20"/>
      <c r="K163" s="8"/>
      <c r="L163" s="8"/>
    </row>
    <row r="164" spans="1:12">
      <c r="A164" s="8"/>
      <c r="B164" s="8"/>
      <c r="C164" s="8"/>
      <c r="D164" s="20"/>
      <c r="E164" s="20"/>
      <c r="F164" s="15"/>
      <c r="G164" s="15"/>
      <c r="H164" s="15"/>
      <c r="I164" s="15"/>
      <c r="J164" s="20"/>
      <c r="K164" s="8"/>
      <c r="L164" s="8"/>
    </row>
    <row r="165" spans="1:12" ht="15.75" thickBot="1">
      <c r="A165" s="8">
        <v>46</v>
      </c>
      <c r="B165" s="8" t="s">
        <v>40</v>
      </c>
      <c r="C165" s="8" t="s">
        <v>12</v>
      </c>
      <c r="D165" s="29">
        <v>6441.05</v>
      </c>
      <c r="E165" s="29">
        <v>20.079999999999998</v>
      </c>
      <c r="F165" s="28">
        <v>0</v>
      </c>
      <c r="G165" s="28">
        <v>0</v>
      </c>
      <c r="H165" s="28">
        <v>0</v>
      </c>
      <c r="I165" s="28">
        <v>0</v>
      </c>
      <c r="J165" s="29">
        <f>SUM(D165:I165)</f>
        <v>6461.13</v>
      </c>
      <c r="K165" s="8"/>
      <c r="L165" s="8"/>
    </row>
    <row r="166" spans="1:12">
      <c r="A166" s="8"/>
      <c r="B166" s="8"/>
      <c r="C166" s="8"/>
      <c r="D166" s="20"/>
      <c r="E166" s="20"/>
      <c r="F166" s="15"/>
      <c r="G166" s="15"/>
      <c r="H166" s="15"/>
      <c r="I166" s="15"/>
      <c r="J166" s="20"/>
      <c r="K166" s="8"/>
      <c r="L166" s="8"/>
    </row>
    <row r="167" spans="1:12" ht="15.75" thickBot="1">
      <c r="A167" s="8"/>
      <c r="B167" s="8"/>
      <c r="C167" s="8" t="s">
        <v>10</v>
      </c>
      <c r="D167" s="31">
        <f t="shared" ref="D167:I167" si="25">SUM(D165:D166)</f>
        <v>6441.05</v>
      </c>
      <c r="E167" s="31">
        <f t="shared" si="25"/>
        <v>20.079999999999998</v>
      </c>
      <c r="F167" s="30">
        <f t="shared" si="25"/>
        <v>0</v>
      </c>
      <c r="G167" s="30">
        <f t="shared" si="25"/>
        <v>0</v>
      </c>
      <c r="H167" s="30">
        <f t="shared" si="25"/>
        <v>0</v>
      </c>
      <c r="I167" s="30">
        <f t="shared" si="25"/>
        <v>0</v>
      </c>
      <c r="J167" s="31">
        <f>SUM(D167:I167)</f>
        <v>6461.13</v>
      </c>
      <c r="K167" s="8"/>
      <c r="L167" s="8"/>
    </row>
    <row r="168" spans="1:12" ht="15.75" thickTop="1">
      <c r="A168" s="8"/>
      <c r="B168" s="8"/>
      <c r="C168" s="8"/>
      <c r="D168" s="20"/>
      <c r="E168" s="20"/>
      <c r="F168" s="15"/>
      <c r="G168" s="15"/>
      <c r="H168" s="15"/>
      <c r="I168" s="15"/>
      <c r="J168" s="20"/>
      <c r="K168" s="8"/>
      <c r="L168" s="8"/>
    </row>
    <row r="169" spans="1:12">
      <c r="A169" s="8"/>
      <c r="B169" s="8"/>
      <c r="C169" s="8"/>
      <c r="D169" s="20"/>
      <c r="E169" s="20"/>
      <c r="F169" s="15"/>
      <c r="G169" s="15"/>
      <c r="H169" s="15"/>
      <c r="I169" s="15"/>
      <c r="J169" s="20"/>
      <c r="K169" s="8"/>
      <c r="L169" s="8"/>
    </row>
    <row r="170" spans="1:12" ht="15.75" thickBot="1">
      <c r="A170" s="8">
        <v>47</v>
      </c>
      <c r="B170" s="8" t="s">
        <v>41</v>
      </c>
      <c r="C170" s="8" t="s">
        <v>12</v>
      </c>
      <c r="D170" s="29">
        <v>6800.67</v>
      </c>
      <c r="E170" s="29">
        <v>473.41</v>
      </c>
      <c r="F170" s="28">
        <v>259.20999999999998</v>
      </c>
      <c r="G170" s="28">
        <v>0</v>
      </c>
      <c r="H170" s="28">
        <v>0</v>
      </c>
      <c r="I170" s="28">
        <v>0</v>
      </c>
      <c r="J170" s="29">
        <f>SUM(D170:I170)</f>
        <v>7533.29</v>
      </c>
      <c r="K170" s="8"/>
      <c r="L170" s="8"/>
    </row>
    <row r="171" spans="1:12">
      <c r="A171" s="8"/>
      <c r="B171" s="8"/>
      <c r="C171" s="8"/>
      <c r="D171" s="20"/>
      <c r="E171" s="20"/>
      <c r="F171" s="15"/>
      <c r="G171" s="15"/>
      <c r="H171" s="15"/>
      <c r="I171" s="15"/>
      <c r="J171" s="20"/>
      <c r="K171" s="8"/>
      <c r="L171" s="8"/>
    </row>
    <row r="172" spans="1:12" ht="15.75" thickBot="1">
      <c r="A172" s="8"/>
      <c r="B172" s="8"/>
      <c r="C172" s="8" t="s">
        <v>10</v>
      </c>
      <c r="D172" s="31">
        <f t="shared" ref="D172:I172" si="26">SUM(D170:D171)</f>
        <v>6800.67</v>
      </c>
      <c r="E172" s="31">
        <f t="shared" si="26"/>
        <v>473.41</v>
      </c>
      <c r="F172" s="30">
        <f t="shared" si="26"/>
        <v>259.20999999999998</v>
      </c>
      <c r="G172" s="30">
        <f t="shared" si="26"/>
        <v>0</v>
      </c>
      <c r="H172" s="30">
        <f t="shared" si="26"/>
        <v>0</v>
      </c>
      <c r="I172" s="30">
        <f t="shared" si="26"/>
        <v>0</v>
      </c>
      <c r="J172" s="31">
        <f>SUM(D172:I172)</f>
        <v>7533.29</v>
      </c>
      <c r="K172" s="8"/>
      <c r="L172" s="8"/>
    </row>
    <row r="173" spans="1:12" ht="15.75" thickTop="1">
      <c r="A173" s="8"/>
      <c r="B173" s="8"/>
      <c r="C173" s="8"/>
      <c r="D173" s="20"/>
      <c r="E173" s="20"/>
      <c r="F173" s="15"/>
      <c r="G173" s="15"/>
      <c r="H173" s="15"/>
      <c r="I173" s="15"/>
      <c r="J173" s="20"/>
      <c r="K173" s="8"/>
      <c r="L173" s="8"/>
    </row>
    <row r="174" spans="1:12">
      <c r="A174" s="8"/>
      <c r="B174" s="8"/>
      <c r="C174" s="8"/>
      <c r="D174" s="20"/>
      <c r="E174" s="20"/>
      <c r="F174" s="15"/>
      <c r="G174" s="15"/>
      <c r="H174" s="15"/>
      <c r="I174" s="15"/>
      <c r="J174" s="20"/>
      <c r="K174" s="8"/>
      <c r="L174" s="8"/>
    </row>
    <row r="175" spans="1:12" ht="15.75" thickBot="1">
      <c r="A175" s="8">
        <v>48</v>
      </c>
      <c r="B175" s="8" t="s">
        <v>42</v>
      </c>
      <c r="C175" s="8" t="s">
        <v>12</v>
      </c>
      <c r="D175" s="29">
        <v>10184.42</v>
      </c>
      <c r="E175" s="29">
        <v>191.01</v>
      </c>
      <c r="F175" s="28">
        <v>128.86000000000001</v>
      </c>
      <c r="G175" s="28">
        <v>0</v>
      </c>
      <c r="H175" s="28">
        <v>0</v>
      </c>
      <c r="I175" s="28">
        <v>0</v>
      </c>
      <c r="J175" s="29">
        <f>SUM(D175:I175)</f>
        <v>10504.29</v>
      </c>
      <c r="K175" s="8"/>
      <c r="L175" s="8"/>
    </row>
    <row r="176" spans="1:12">
      <c r="A176" s="8"/>
      <c r="B176" s="8"/>
      <c r="C176" s="8"/>
      <c r="D176" s="20"/>
      <c r="E176" s="20"/>
      <c r="F176" s="15"/>
      <c r="G176" s="15"/>
      <c r="H176" s="15"/>
      <c r="I176" s="15"/>
      <c r="J176" s="20"/>
      <c r="K176" s="8"/>
      <c r="L176" s="8"/>
    </row>
    <row r="177" spans="1:12" ht="15.75" thickBot="1">
      <c r="A177" s="8"/>
      <c r="B177" s="8"/>
      <c r="C177" s="8"/>
      <c r="D177" s="31">
        <f t="shared" ref="D177:I177" si="27">SUM(D175:D176)</f>
        <v>10184.42</v>
      </c>
      <c r="E177" s="31">
        <f t="shared" si="27"/>
        <v>191.01</v>
      </c>
      <c r="F177" s="30">
        <f t="shared" si="27"/>
        <v>128.86000000000001</v>
      </c>
      <c r="G177" s="30">
        <f t="shared" si="27"/>
        <v>0</v>
      </c>
      <c r="H177" s="30">
        <f t="shared" si="27"/>
        <v>0</v>
      </c>
      <c r="I177" s="30">
        <f t="shared" si="27"/>
        <v>0</v>
      </c>
      <c r="J177" s="31">
        <f>SUM(D177:I177)</f>
        <v>10504.29</v>
      </c>
      <c r="K177" s="8"/>
      <c r="L177" s="8"/>
    </row>
    <row r="178" spans="1:12" ht="15.75" thickTop="1">
      <c r="A178" s="8"/>
      <c r="B178" s="8"/>
      <c r="C178" s="8"/>
      <c r="D178" s="20"/>
      <c r="E178" s="20"/>
      <c r="F178" s="15"/>
      <c r="G178" s="15"/>
      <c r="H178" s="15"/>
      <c r="I178" s="15"/>
      <c r="J178" s="20"/>
      <c r="K178" s="8"/>
      <c r="L178" s="8"/>
    </row>
    <row r="179" spans="1:12">
      <c r="A179" s="8"/>
      <c r="B179" s="8"/>
      <c r="C179" s="8"/>
      <c r="D179" s="20"/>
      <c r="E179" s="20"/>
      <c r="F179" s="15"/>
      <c r="G179" s="15"/>
      <c r="H179" s="15"/>
      <c r="I179" s="15"/>
      <c r="J179" s="20"/>
      <c r="K179" s="8"/>
      <c r="L179" s="8"/>
    </row>
    <row r="180" spans="1:12" ht="15.75" thickBot="1">
      <c r="A180" s="8">
        <v>49</v>
      </c>
      <c r="B180" s="8" t="s">
        <v>43</v>
      </c>
      <c r="C180" s="8" t="s">
        <v>12</v>
      </c>
      <c r="D180" s="29">
        <v>13116.68</v>
      </c>
      <c r="E180" s="29">
        <v>134.93</v>
      </c>
      <c r="F180" s="28">
        <v>35.51</v>
      </c>
      <c r="G180" s="28">
        <v>36.36</v>
      </c>
      <c r="H180" s="28">
        <v>33.840000000000003</v>
      </c>
      <c r="I180" s="28">
        <v>0</v>
      </c>
      <c r="J180" s="29">
        <f>SUM(D180:I180)</f>
        <v>13357.320000000002</v>
      </c>
      <c r="K180" s="8"/>
      <c r="L180" s="8"/>
    </row>
    <row r="181" spans="1:12">
      <c r="A181" s="8"/>
      <c r="B181" s="8"/>
      <c r="C181" s="8"/>
      <c r="D181" s="20"/>
      <c r="E181" s="20"/>
      <c r="F181" s="15"/>
      <c r="G181" s="15"/>
      <c r="H181" s="15"/>
      <c r="I181" s="15"/>
      <c r="J181" s="20"/>
      <c r="K181" s="8"/>
      <c r="L181" s="8"/>
    </row>
    <row r="182" spans="1:12" ht="15.75" thickBot="1">
      <c r="A182" s="8"/>
      <c r="B182" s="8"/>
      <c r="C182" s="8" t="s">
        <v>10</v>
      </c>
      <c r="D182" s="31">
        <f t="shared" ref="D182:I182" si="28">SUM(D180:D181)</f>
        <v>13116.68</v>
      </c>
      <c r="E182" s="31">
        <f t="shared" si="28"/>
        <v>134.93</v>
      </c>
      <c r="F182" s="30">
        <f t="shared" si="28"/>
        <v>35.51</v>
      </c>
      <c r="G182" s="30">
        <f t="shared" si="28"/>
        <v>36.36</v>
      </c>
      <c r="H182" s="30">
        <f t="shared" si="28"/>
        <v>33.840000000000003</v>
      </c>
      <c r="I182" s="30">
        <f t="shared" si="28"/>
        <v>0</v>
      </c>
      <c r="J182" s="31">
        <f>SUM(D182:I182)</f>
        <v>13357.320000000002</v>
      </c>
      <c r="K182" s="8"/>
      <c r="L182" s="8"/>
    </row>
    <row r="183" spans="1:12" ht="15.75" thickTop="1">
      <c r="A183" s="8"/>
      <c r="B183" s="8"/>
      <c r="C183" s="8"/>
      <c r="D183" s="20"/>
      <c r="E183" s="20"/>
      <c r="F183" s="15"/>
      <c r="G183" s="15"/>
      <c r="H183" s="15"/>
      <c r="I183" s="15"/>
      <c r="J183" s="20"/>
      <c r="K183" s="8"/>
      <c r="L183" s="8"/>
    </row>
    <row r="184" spans="1:12">
      <c r="A184" s="8"/>
      <c r="B184" s="8"/>
      <c r="C184" s="8"/>
      <c r="D184" s="20"/>
      <c r="E184" s="20"/>
      <c r="F184" s="15"/>
      <c r="G184" s="15"/>
      <c r="H184" s="15"/>
      <c r="I184" s="15"/>
      <c r="J184" s="20"/>
      <c r="K184" s="8"/>
      <c r="L184" s="8"/>
    </row>
    <row r="185" spans="1:12">
      <c r="A185" s="8">
        <v>50</v>
      </c>
      <c r="B185" s="8" t="s">
        <v>44</v>
      </c>
      <c r="C185" s="8" t="s">
        <v>12</v>
      </c>
      <c r="D185" s="20">
        <v>4845.41</v>
      </c>
      <c r="E185" s="20">
        <v>43.36</v>
      </c>
      <c r="F185" s="15">
        <v>43.26</v>
      </c>
      <c r="G185" s="15"/>
      <c r="H185" s="15"/>
      <c r="I185" s="15"/>
      <c r="J185" s="20">
        <f>SUM(D185:I185)</f>
        <v>4932.03</v>
      </c>
      <c r="K185" s="8"/>
      <c r="L185" s="8"/>
    </row>
    <row r="186" spans="1:12" ht="15.75" thickBot="1">
      <c r="A186" s="8"/>
      <c r="B186" s="8"/>
      <c r="C186" s="8" t="s">
        <v>13</v>
      </c>
      <c r="D186" s="29">
        <v>96.78</v>
      </c>
      <c r="E186" s="29">
        <v>1.04</v>
      </c>
      <c r="F186" s="28">
        <v>0.96</v>
      </c>
      <c r="G186" s="28"/>
      <c r="H186" s="28"/>
      <c r="I186" s="28"/>
      <c r="J186" s="29">
        <f>SUM(D186:I186)</f>
        <v>98.78</v>
      </c>
      <c r="K186" s="8"/>
      <c r="L186" s="8"/>
    </row>
    <row r="187" spans="1:12">
      <c r="A187" s="8"/>
      <c r="B187" s="8"/>
      <c r="C187" s="8"/>
      <c r="D187" s="20"/>
      <c r="E187" s="20"/>
      <c r="F187" s="15"/>
      <c r="G187" s="15"/>
      <c r="H187" s="15"/>
      <c r="I187" s="15"/>
      <c r="J187" s="20"/>
      <c r="K187" s="8"/>
      <c r="L187" s="8"/>
    </row>
    <row r="188" spans="1:12" ht="15.75" thickBot="1">
      <c r="A188" s="8"/>
      <c r="B188" s="8"/>
      <c r="C188" s="8" t="s">
        <v>10</v>
      </c>
      <c r="D188" s="31">
        <f t="shared" ref="D188:I188" si="29">SUM(D185:D186)</f>
        <v>4942.1899999999996</v>
      </c>
      <c r="E188" s="31">
        <f t="shared" si="29"/>
        <v>44.4</v>
      </c>
      <c r="F188" s="30">
        <f t="shared" si="29"/>
        <v>44.22</v>
      </c>
      <c r="G188" s="30">
        <f t="shared" si="29"/>
        <v>0</v>
      </c>
      <c r="H188" s="30">
        <f t="shared" si="29"/>
        <v>0</v>
      </c>
      <c r="I188" s="30">
        <f t="shared" si="29"/>
        <v>0</v>
      </c>
      <c r="J188" s="31">
        <f>SUM(D188:I188)</f>
        <v>5030.8099999999995</v>
      </c>
      <c r="K188" s="8"/>
      <c r="L188" s="8"/>
    </row>
    <row r="189" spans="1:12" ht="15.75" thickTop="1">
      <c r="A189" s="8"/>
      <c r="B189" s="8"/>
      <c r="C189" s="8"/>
      <c r="D189" s="20"/>
      <c r="E189" s="20"/>
      <c r="F189" s="15"/>
      <c r="G189" s="15"/>
      <c r="H189" s="15"/>
      <c r="I189" s="15"/>
      <c r="J189" s="20"/>
      <c r="K189" s="8"/>
      <c r="L189" s="8"/>
    </row>
    <row r="190" spans="1:12">
      <c r="A190" s="8"/>
      <c r="B190" s="8"/>
      <c r="C190" s="8"/>
      <c r="D190" s="20"/>
      <c r="E190" s="20"/>
      <c r="F190" s="15"/>
      <c r="G190" s="15"/>
      <c r="H190" s="15"/>
      <c r="I190" s="15"/>
      <c r="J190" s="20"/>
      <c r="K190" s="8"/>
      <c r="L190" s="8"/>
    </row>
    <row r="191" spans="1:12">
      <c r="A191" s="8">
        <v>51</v>
      </c>
      <c r="B191" s="8" t="s">
        <v>45</v>
      </c>
      <c r="C191" s="8" t="s">
        <v>12</v>
      </c>
      <c r="D191" s="20">
        <v>11049.05</v>
      </c>
      <c r="E191" s="20">
        <v>732.45</v>
      </c>
      <c r="F191" s="15">
        <v>461.57</v>
      </c>
      <c r="G191" s="15">
        <v>350.96</v>
      </c>
      <c r="H191" s="15"/>
      <c r="I191" s="15"/>
      <c r="J191" s="20">
        <f>SUM(D191:I191)</f>
        <v>12594.029999999999</v>
      </c>
      <c r="K191" s="8"/>
      <c r="L191" s="8"/>
    </row>
    <row r="192" spans="1:12">
      <c r="A192" s="8"/>
      <c r="B192" s="8"/>
      <c r="C192" s="8" t="s">
        <v>13</v>
      </c>
      <c r="D192" s="20"/>
      <c r="E192" s="20"/>
      <c r="F192" s="15"/>
      <c r="G192" s="15"/>
      <c r="H192" s="15"/>
      <c r="I192" s="15"/>
      <c r="J192" s="20">
        <f>SUM(D192:I192)</f>
        <v>0</v>
      </c>
      <c r="K192" s="8"/>
      <c r="L192" s="8"/>
    </row>
    <row r="193" spans="1:12" ht="15.75" thickBot="1">
      <c r="A193" s="8"/>
      <c r="B193" s="8"/>
      <c r="C193" s="8" t="s">
        <v>46</v>
      </c>
      <c r="D193" s="29">
        <v>212.41</v>
      </c>
      <c r="E193" s="29">
        <v>14.65</v>
      </c>
      <c r="F193" s="28">
        <v>9.36</v>
      </c>
      <c r="G193" s="28">
        <v>7.13</v>
      </c>
      <c r="H193" s="28"/>
      <c r="I193" s="28"/>
      <c r="J193" s="29">
        <f>SUM(D193:I193)</f>
        <v>243.55</v>
      </c>
      <c r="K193" s="8"/>
      <c r="L193" s="8"/>
    </row>
    <row r="194" spans="1:12">
      <c r="A194" s="8"/>
      <c r="B194" s="8"/>
      <c r="C194" s="8"/>
      <c r="D194" s="20"/>
      <c r="E194" s="20"/>
      <c r="F194" s="15"/>
      <c r="G194" s="15"/>
      <c r="H194" s="15"/>
      <c r="I194" s="15"/>
      <c r="J194" s="20"/>
      <c r="K194" s="8"/>
      <c r="L194" s="8"/>
    </row>
    <row r="195" spans="1:12" ht="15.75" thickBot="1">
      <c r="A195" s="8"/>
      <c r="B195" s="8"/>
      <c r="C195" s="8" t="s">
        <v>10</v>
      </c>
      <c r="D195" s="31">
        <f t="shared" ref="D195:I195" si="30">SUM(D191:D193)</f>
        <v>11261.46</v>
      </c>
      <c r="E195" s="31">
        <f t="shared" si="30"/>
        <v>747.1</v>
      </c>
      <c r="F195" s="30">
        <f t="shared" si="30"/>
        <v>470.93</v>
      </c>
      <c r="G195" s="30">
        <f t="shared" si="30"/>
        <v>358.09</v>
      </c>
      <c r="H195" s="30">
        <f t="shared" si="30"/>
        <v>0</v>
      </c>
      <c r="I195" s="30">
        <f t="shared" si="30"/>
        <v>0</v>
      </c>
      <c r="J195" s="31">
        <f>SUM(D195:I195)</f>
        <v>12837.58</v>
      </c>
      <c r="K195" s="8"/>
      <c r="L195" s="8"/>
    </row>
    <row r="196" spans="1:12" ht="15.75" thickTop="1">
      <c r="A196" s="8"/>
      <c r="B196" s="8"/>
      <c r="C196" s="8"/>
      <c r="D196" s="20"/>
      <c r="E196" s="20"/>
      <c r="F196" s="15"/>
      <c r="G196" s="15"/>
      <c r="H196" s="15"/>
      <c r="I196" s="15"/>
      <c r="J196" s="20"/>
      <c r="K196" s="8"/>
      <c r="L196" s="8"/>
    </row>
    <row r="197" spans="1:12">
      <c r="A197" s="8"/>
      <c r="B197" s="8"/>
      <c r="C197" s="8"/>
      <c r="D197" s="20"/>
      <c r="E197" s="20"/>
      <c r="F197" s="15"/>
      <c r="G197" s="15"/>
      <c r="H197" s="15"/>
      <c r="I197" s="15"/>
      <c r="J197" s="20"/>
      <c r="K197" s="8"/>
      <c r="L197" s="8"/>
    </row>
    <row r="198" spans="1:12">
      <c r="A198" s="8">
        <v>52</v>
      </c>
      <c r="B198" s="8" t="s">
        <v>47</v>
      </c>
      <c r="C198" s="8" t="s">
        <v>12</v>
      </c>
      <c r="D198" s="20">
        <v>8246.3799999999992</v>
      </c>
      <c r="E198" s="20">
        <v>0</v>
      </c>
      <c r="F198" s="15">
        <v>0</v>
      </c>
      <c r="G198" s="15">
        <v>0</v>
      </c>
      <c r="H198" s="15">
        <v>0</v>
      </c>
      <c r="I198" s="15">
        <v>0</v>
      </c>
      <c r="J198" s="20">
        <f>SUM(D198:I198)</f>
        <v>8246.3799999999992</v>
      </c>
      <c r="K198" s="8"/>
      <c r="L198" s="8"/>
    </row>
    <row r="199" spans="1:12" ht="15.75" thickBot="1">
      <c r="A199" s="8"/>
      <c r="B199" s="8"/>
      <c r="C199" s="8" t="s">
        <v>13</v>
      </c>
      <c r="D199" s="29"/>
      <c r="E199" s="29"/>
      <c r="F199" s="28"/>
      <c r="G199" s="28"/>
      <c r="H199" s="28"/>
      <c r="I199" s="28"/>
      <c r="J199" s="34">
        <v>0</v>
      </c>
      <c r="K199" s="8"/>
      <c r="L199" s="8"/>
    </row>
    <row r="200" spans="1:12">
      <c r="A200" s="8"/>
      <c r="B200" s="8"/>
      <c r="C200" s="8"/>
      <c r="D200" s="20"/>
      <c r="E200" s="20"/>
      <c r="F200" s="15"/>
      <c r="G200" s="15"/>
      <c r="H200" s="15"/>
      <c r="I200" s="15"/>
      <c r="J200" s="20"/>
      <c r="K200" s="8"/>
      <c r="L200" s="8"/>
    </row>
    <row r="201" spans="1:12" ht="15.75" thickBot="1">
      <c r="A201" s="8"/>
      <c r="B201" s="8"/>
      <c r="C201" s="8" t="s">
        <v>10</v>
      </c>
      <c r="D201" s="31">
        <f t="shared" ref="D201:I201" si="31">SUM(D198:D199)</f>
        <v>8246.3799999999992</v>
      </c>
      <c r="E201" s="31">
        <f t="shared" si="31"/>
        <v>0</v>
      </c>
      <c r="F201" s="30">
        <f t="shared" si="31"/>
        <v>0</v>
      </c>
      <c r="G201" s="30">
        <f t="shared" si="31"/>
        <v>0</v>
      </c>
      <c r="H201" s="30">
        <f t="shared" si="31"/>
        <v>0</v>
      </c>
      <c r="I201" s="30">
        <f t="shared" si="31"/>
        <v>0</v>
      </c>
      <c r="J201" s="31">
        <f>SUM(D201:I201)</f>
        <v>8246.3799999999992</v>
      </c>
      <c r="K201" s="8"/>
      <c r="L201" s="8"/>
    </row>
    <row r="202" spans="1:12" ht="15.75" thickTop="1">
      <c r="A202" s="8"/>
      <c r="B202" s="8"/>
      <c r="C202" s="8"/>
      <c r="D202" s="20"/>
      <c r="E202" s="20"/>
      <c r="F202" s="15"/>
      <c r="G202" s="15"/>
      <c r="H202" s="15"/>
      <c r="I202" s="15"/>
      <c r="J202" s="20"/>
      <c r="K202" s="8"/>
      <c r="L202" s="8"/>
    </row>
    <row r="203" spans="1:12">
      <c r="A203" s="8"/>
      <c r="B203" s="8"/>
      <c r="C203" s="8"/>
      <c r="D203" s="20"/>
      <c r="E203" s="20"/>
      <c r="F203" s="15"/>
      <c r="G203" s="15"/>
      <c r="H203" s="15"/>
      <c r="I203" s="15"/>
      <c r="J203" s="20"/>
      <c r="K203" s="8"/>
      <c r="L203" s="8"/>
    </row>
    <row r="204" spans="1:12">
      <c r="A204" s="8">
        <v>53</v>
      </c>
      <c r="B204" s="8" t="s">
        <v>48</v>
      </c>
      <c r="C204" s="8" t="s">
        <v>12</v>
      </c>
      <c r="D204" s="20">
        <v>15046.97</v>
      </c>
      <c r="E204" s="20">
        <v>257.55</v>
      </c>
      <c r="F204" s="15">
        <v>62.16</v>
      </c>
      <c r="G204" s="15">
        <v>2.1800000000000002</v>
      </c>
      <c r="H204" s="15">
        <v>2.71</v>
      </c>
      <c r="I204" s="15"/>
      <c r="J204" s="20">
        <f>SUM(D204:I204)</f>
        <v>15371.569999999998</v>
      </c>
      <c r="K204" s="8"/>
      <c r="L204" s="8"/>
    </row>
    <row r="205" spans="1:12">
      <c r="A205" s="8"/>
      <c r="B205" s="8"/>
      <c r="C205" s="8" t="s">
        <v>35</v>
      </c>
      <c r="D205" s="20">
        <v>836.13</v>
      </c>
      <c r="E205" s="20">
        <v>14.74</v>
      </c>
      <c r="F205" s="15">
        <v>3.42</v>
      </c>
      <c r="G205" s="15">
        <v>0.42</v>
      </c>
      <c r="H205" s="15"/>
      <c r="I205" s="15"/>
      <c r="J205" s="20">
        <f>SUM(D205:I205)</f>
        <v>854.70999999999992</v>
      </c>
      <c r="K205" s="8"/>
      <c r="L205" s="8"/>
    </row>
    <row r="206" spans="1:12">
      <c r="A206" s="8"/>
      <c r="B206" s="8"/>
      <c r="C206" s="8" t="s">
        <v>97</v>
      </c>
      <c r="D206" s="20">
        <v>367.71</v>
      </c>
      <c r="E206" s="20">
        <v>5.74</v>
      </c>
      <c r="F206" s="15">
        <v>1.66</v>
      </c>
      <c r="G206" s="15">
        <v>-0.03</v>
      </c>
      <c r="H206" s="15"/>
      <c r="I206" s="15"/>
      <c r="J206" s="20">
        <f>SUM(D206:I206)</f>
        <v>375.08000000000004</v>
      </c>
      <c r="K206" s="8"/>
      <c r="L206" s="8"/>
    </row>
    <row r="207" spans="1:12" ht="15.75" thickBot="1">
      <c r="A207" s="8"/>
      <c r="B207" s="8"/>
      <c r="C207" s="8" t="s">
        <v>98</v>
      </c>
      <c r="D207" s="29">
        <v>2507.59</v>
      </c>
      <c r="E207" s="29">
        <v>43.41</v>
      </c>
      <c r="F207" s="28">
        <v>10.78</v>
      </c>
      <c r="G207" s="28">
        <v>0.46</v>
      </c>
      <c r="H207" s="28"/>
      <c r="I207" s="28"/>
      <c r="J207" s="29">
        <f>SUM(D207:I207)</f>
        <v>2562.2400000000002</v>
      </c>
      <c r="K207" s="8"/>
      <c r="L207" s="8"/>
    </row>
    <row r="208" spans="1:12">
      <c r="A208" s="8"/>
      <c r="B208" s="8"/>
      <c r="C208" s="8"/>
      <c r="D208" s="20"/>
      <c r="E208" s="20"/>
      <c r="F208" s="15"/>
      <c r="G208" s="15"/>
      <c r="H208" s="15"/>
      <c r="I208" s="15"/>
      <c r="J208" s="20"/>
      <c r="K208" s="8"/>
      <c r="L208" s="8"/>
    </row>
    <row r="209" spans="1:12" ht="15.75" thickBot="1">
      <c r="A209" s="8"/>
      <c r="B209" s="8"/>
      <c r="C209" s="8" t="s">
        <v>10</v>
      </c>
      <c r="D209" s="31">
        <f t="shared" ref="D209:J209" si="32">SUM(D204:D208)</f>
        <v>18758.399999999998</v>
      </c>
      <c r="E209" s="31">
        <f t="shared" si="32"/>
        <v>321.44000000000005</v>
      </c>
      <c r="F209" s="30">
        <f t="shared" si="32"/>
        <v>78.02</v>
      </c>
      <c r="G209" s="30">
        <f t="shared" si="32"/>
        <v>3.0300000000000002</v>
      </c>
      <c r="H209" s="30">
        <f t="shared" si="32"/>
        <v>2.71</v>
      </c>
      <c r="I209" s="30">
        <f t="shared" si="32"/>
        <v>0</v>
      </c>
      <c r="J209" s="30">
        <f t="shared" si="32"/>
        <v>19163.599999999999</v>
      </c>
      <c r="K209" s="8"/>
      <c r="L209" s="8"/>
    </row>
    <row r="210" spans="1:12" ht="15.75" thickTop="1">
      <c r="A210" s="8"/>
      <c r="B210" s="8"/>
      <c r="C210" s="8"/>
      <c r="D210" s="20"/>
      <c r="E210" s="20"/>
      <c r="F210" s="15"/>
      <c r="G210" s="15"/>
      <c r="H210" s="15"/>
      <c r="I210" s="15"/>
      <c r="J210" s="20"/>
      <c r="K210" s="8"/>
      <c r="L210" s="8"/>
    </row>
    <row r="211" spans="1:12">
      <c r="A211" s="8"/>
      <c r="B211" s="8"/>
      <c r="C211" s="8"/>
      <c r="D211" s="20"/>
      <c r="E211" s="20"/>
      <c r="F211" s="15"/>
      <c r="G211" s="15"/>
      <c r="H211" s="15"/>
      <c r="I211" s="15"/>
      <c r="J211" s="20"/>
      <c r="K211" s="8"/>
      <c r="L211" s="8"/>
    </row>
    <row r="212" spans="1:12">
      <c r="A212" s="8">
        <v>54</v>
      </c>
      <c r="B212" s="8" t="s">
        <v>49</v>
      </c>
      <c r="C212" s="8" t="s">
        <v>12</v>
      </c>
      <c r="D212" s="20">
        <v>8201.25</v>
      </c>
      <c r="E212" s="20">
        <v>271.16000000000003</v>
      </c>
      <c r="F212" s="15">
        <v>25.32</v>
      </c>
      <c r="G212" s="15">
        <v>25.71</v>
      </c>
      <c r="H212" s="15">
        <v>20.84</v>
      </c>
      <c r="I212" s="15">
        <v>0</v>
      </c>
      <c r="J212" s="20">
        <f>SUM(D212:I212)</f>
        <v>8544.2799999999988</v>
      </c>
      <c r="K212" s="8"/>
      <c r="L212" s="8"/>
    </row>
    <row r="213" spans="1:12" ht="15.75" thickBot="1">
      <c r="A213" s="8"/>
      <c r="B213" s="8"/>
      <c r="C213" s="8" t="s">
        <v>104</v>
      </c>
      <c r="D213" s="29"/>
      <c r="E213" s="29"/>
      <c r="F213" s="28">
        <v>2.4300000000000002</v>
      </c>
      <c r="G213" s="28"/>
      <c r="H213" s="28"/>
      <c r="I213" s="28"/>
      <c r="J213" s="29">
        <f>SUM(D213:I213)</f>
        <v>2.4300000000000002</v>
      </c>
      <c r="K213" s="8"/>
      <c r="L213" s="8"/>
    </row>
    <row r="214" spans="1:12">
      <c r="A214" s="8"/>
      <c r="B214" s="8"/>
      <c r="C214" s="8"/>
      <c r="D214" s="20"/>
      <c r="E214" s="20"/>
      <c r="F214" s="15"/>
      <c r="G214" s="15"/>
      <c r="H214" s="15"/>
      <c r="I214" s="15"/>
      <c r="J214" s="20"/>
      <c r="K214" s="8"/>
      <c r="L214" s="8"/>
    </row>
    <row r="215" spans="1:12" ht="15.75" thickBot="1">
      <c r="A215" s="8"/>
      <c r="B215" s="8"/>
      <c r="C215" s="8" t="s">
        <v>10</v>
      </c>
      <c r="D215" s="31">
        <f t="shared" ref="D215:I215" si="33">SUM(D212:D214)</f>
        <v>8201.25</v>
      </c>
      <c r="E215" s="31">
        <f t="shared" si="33"/>
        <v>271.16000000000003</v>
      </c>
      <c r="F215" s="30">
        <f t="shared" si="33"/>
        <v>27.75</v>
      </c>
      <c r="G215" s="30">
        <f t="shared" si="33"/>
        <v>25.71</v>
      </c>
      <c r="H215" s="30">
        <f t="shared" si="33"/>
        <v>20.84</v>
      </c>
      <c r="I215" s="30">
        <f t="shared" si="33"/>
        <v>0</v>
      </c>
      <c r="J215" s="31">
        <f>SUM(D215:I215)</f>
        <v>8546.7099999999991</v>
      </c>
      <c r="K215" s="8"/>
      <c r="L215" s="8"/>
    </row>
    <row r="216" spans="1:12" ht="15.75" thickTop="1">
      <c r="A216" s="8"/>
      <c r="B216" s="8"/>
      <c r="C216" s="8"/>
      <c r="D216" s="20"/>
      <c r="E216" s="20"/>
      <c r="F216" s="15"/>
      <c r="G216" s="15"/>
      <c r="H216" s="15"/>
      <c r="I216" s="15"/>
      <c r="J216" s="20"/>
      <c r="K216" s="8"/>
      <c r="L216" s="8"/>
    </row>
    <row r="217" spans="1:12">
      <c r="A217" s="8"/>
      <c r="B217" s="8"/>
      <c r="C217" s="8"/>
      <c r="D217" s="20"/>
      <c r="E217" s="20"/>
      <c r="F217" s="15"/>
      <c r="G217" s="15"/>
      <c r="H217" s="15"/>
      <c r="I217" s="15"/>
      <c r="J217" s="20"/>
      <c r="K217" s="8"/>
      <c r="L217" s="8"/>
    </row>
    <row r="218" spans="1:12">
      <c r="A218" s="8">
        <v>55</v>
      </c>
      <c r="B218" s="8" t="s">
        <v>50</v>
      </c>
      <c r="C218" s="8" t="s">
        <v>12</v>
      </c>
      <c r="D218" s="20">
        <f>17301.58+2000</f>
        <v>19301.580000000002</v>
      </c>
      <c r="E218" s="20">
        <v>891.92</v>
      </c>
      <c r="F218" s="15">
        <v>336.95</v>
      </c>
      <c r="G218" s="15">
        <v>106.23</v>
      </c>
      <c r="H218" s="15">
        <v>44.96</v>
      </c>
      <c r="I218" s="15"/>
      <c r="J218" s="20">
        <f>SUM(D218:I218)</f>
        <v>20681.64</v>
      </c>
      <c r="K218" s="8"/>
      <c r="L218" s="8"/>
    </row>
    <row r="219" spans="1:12" ht="15.75" thickBot="1">
      <c r="A219" s="8"/>
      <c r="B219" s="8"/>
      <c r="C219" s="8" t="s">
        <v>13</v>
      </c>
      <c r="D219" s="29">
        <v>409.38</v>
      </c>
      <c r="E219" s="29">
        <v>22.36</v>
      </c>
      <c r="F219" s="28">
        <v>8.73</v>
      </c>
      <c r="G219" s="28">
        <v>2.95</v>
      </c>
      <c r="H219" s="28">
        <v>1.38</v>
      </c>
      <c r="I219" s="28"/>
      <c r="J219" s="29">
        <f>SUM(D219:I219)</f>
        <v>444.8</v>
      </c>
      <c r="K219" s="8"/>
      <c r="L219" s="8"/>
    </row>
    <row r="220" spans="1:12">
      <c r="A220" s="8"/>
      <c r="B220" s="8"/>
      <c r="C220" s="8"/>
      <c r="D220" s="20"/>
      <c r="E220" s="20"/>
      <c r="F220" s="15"/>
      <c r="G220" s="15"/>
      <c r="H220" s="15"/>
      <c r="I220" s="15"/>
      <c r="J220" s="20"/>
      <c r="K220" s="8"/>
      <c r="L220" s="8"/>
    </row>
    <row r="221" spans="1:12" ht="15.75" thickBot="1">
      <c r="A221" s="8"/>
      <c r="B221" s="8"/>
      <c r="C221" s="8" t="s">
        <v>10</v>
      </c>
      <c r="D221" s="31">
        <f t="shared" ref="D221:I221" si="34">SUM(D218:D219)</f>
        <v>19710.960000000003</v>
      </c>
      <c r="E221" s="31">
        <f t="shared" si="34"/>
        <v>914.28</v>
      </c>
      <c r="F221" s="30">
        <f t="shared" si="34"/>
        <v>345.68</v>
      </c>
      <c r="G221" s="30">
        <f t="shared" si="34"/>
        <v>109.18</v>
      </c>
      <c r="H221" s="30">
        <f t="shared" si="34"/>
        <v>46.34</v>
      </c>
      <c r="I221" s="30">
        <f t="shared" si="34"/>
        <v>0</v>
      </c>
      <c r="J221" s="31">
        <f>SUM(D221:I221)</f>
        <v>21126.440000000002</v>
      </c>
      <c r="K221" s="8"/>
      <c r="L221" s="8"/>
    </row>
    <row r="222" spans="1:12" ht="15.75" thickTop="1">
      <c r="A222" s="8"/>
      <c r="B222" s="8"/>
      <c r="C222" s="8"/>
      <c r="D222" s="20"/>
      <c r="E222" s="20"/>
      <c r="F222" s="15"/>
      <c r="G222" s="15"/>
      <c r="H222" s="15"/>
      <c r="I222" s="15"/>
      <c r="J222" s="20"/>
      <c r="K222" s="8"/>
      <c r="L222" s="8"/>
    </row>
    <row r="223" spans="1:12">
      <c r="A223" s="8"/>
      <c r="B223" s="8"/>
      <c r="C223" s="8"/>
      <c r="D223" s="20"/>
      <c r="E223" s="20"/>
      <c r="F223" s="15"/>
      <c r="G223" s="15"/>
      <c r="H223" s="15"/>
      <c r="I223" s="15"/>
      <c r="J223" s="20"/>
      <c r="K223" s="8"/>
      <c r="L223" s="8"/>
    </row>
    <row r="224" spans="1:12">
      <c r="A224" s="8">
        <v>56</v>
      </c>
      <c r="B224" s="8" t="s">
        <v>51</v>
      </c>
      <c r="C224" s="8" t="s">
        <v>12</v>
      </c>
      <c r="D224" s="20">
        <v>10140.24</v>
      </c>
      <c r="E224" s="20">
        <v>68.739999999999995</v>
      </c>
      <c r="F224" s="15">
        <v>68.87</v>
      </c>
      <c r="G224" s="15">
        <v>68.540000000000006</v>
      </c>
      <c r="H224" s="15"/>
      <c r="I224" s="15"/>
      <c r="J224" s="20">
        <f>SUM(D224:I224)</f>
        <v>10346.390000000001</v>
      </c>
      <c r="K224" s="8"/>
      <c r="L224" s="8"/>
    </row>
    <row r="225" spans="1:12" ht="15.75" thickBot="1">
      <c r="A225" s="8"/>
      <c r="B225" s="8"/>
      <c r="C225" s="8" t="s">
        <v>13</v>
      </c>
      <c r="D225" s="29">
        <v>151.66999999999999</v>
      </c>
      <c r="E225" s="29">
        <v>1.49</v>
      </c>
      <c r="F225" s="28">
        <v>1.35</v>
      </c>
      <c r="G225" s="28">
        <v>1.52</v>
      </c>
      <c r="H225" s="28"/>
      <c r="I225" s="28"/>
      <c r="J225" s="29">
        <f>SUM(D225:I225)</f>
        <v>156.03</v>
      </c>
      <c r="K225" s="8"/>
      <c r="L225" s="8"/>
    </row>
    <row r="226" spans="1:12">
      <c r="A226" s="8"/>
      <c r="B226" s="8"/>
      <c r="C226" s="8"/>
      <c r="D226" s="20"/>
      <c r="E226" s="20"/>
      <c r="F226" s="15"/>
      <c r="G226" s="15"/>
      <c r="H226" s="15"/>
      <c r="I226" s="15"/>
      <c r="J226" s="20"/>
      <c r="K226" s="8"/>
      <c r="L226" s="8"/>
    </row>
    <row r="227" spans="1:12" ht="15.75" thickBot="1">
      <c r="A227" s="8"/>
      <c r="B227" s="8"/>
      <c r="C227" s="8" t="s">
        <v>10</v>
      </c>
      <c r="D227" s="31">
        <f t="shared" ref="D227:I227" si="35">SUM(D224:D225)</f>
        <v>10291.91</v>
      </c>
      <c r="E227" s="31">
        <f t="shared" si="35"/>
        <v>70.22999999999999</v>
      </c>
      <c r="F227" s="30">
        <f t="shared" si="35"/>
        <v>70.22</v>
      </c>
      <c r="G227" s="30">
        <f t="shared" si="35"/>
        <v>70.06</v>
      </c>
      <c r="H227" s="30">
        <f t="shared" si="35"/>
        <v>0</v>
      </c>
      <c r="I227" s="30">
        <f t="shared" si="35"/>
        <v>0</v>
      </c>
      <c r="J227" s="31">
        <f>SUM(D227:I227)</f>
        <v>10502.419999999998</v>
      </c>
      <c r="K227" s="8"/>
      <c r="L227" s="8"/>
    </row>
    <row r="228" spans="1:12" ht="15.75" thickTop="1">
      <c r="A228" s="8"/>
      <c r="B228" s="8"/>
      <c r="C228" s="8"/>
      <c r="D228" s="20"/>
      <c r="E228" s="20"/>
      <c r="F228" s="15"/>
      <c r="G228" s="15"/>
      <c r="H228" s="15"/>
      <c r="I228" s="15"/>
      <c r="J228" s="20"/>
      <c r="K228" s="8"/>
      <c r="L228" s="8"/>
    </row>
    <row r="229" spans="1:12">
      <c r="A229" s="8"/>
      <c r="B229" s="8"/>
      <c r="C229" s="8"/>
      <c r="D229" s="20"/>
      <c r="E229" s="20"/>
      <c r="F229" s="15"/>
      <c r="G229" s="15"/>
      <c r="H229" s="15"/>
      <c r="I229" s="15"/>
      <c r="J229" s="20"/>
      <c r="K229" s="8"/>
      <c r="L229" s="8"/>
    </row>
    <row r="230" spans="1:12">
      <c r="A230" s="8">
        <v>57</v>
      </c>
      <c r="B230" s="8" t="s">
        <v>52</v>
      </c>
      <c r="C230" s="8" t="s">
        <v>12</v>
      </c>
      <c r="D230" s="20">
        <v>23162.83</v>
      </c>
      <c r="E230" s="20">
        <v>818.76</v>
      </c>
      <c r="F230" s="15">
        <v>610.54</v>
      </c>
      <c r="G230" s="15">
        <v>446.69</v>
      </c>
      <c r="H230" s="15">
        <v>47.85</v>
      </c>
      <c r="I230" s="15"/>
      <c r="J230" s="20">
        <f>SUM(D230:I230)</f>
        <v>25086.67</v>
      </c>
      <c r="K230" s="8"/>
      <c r="L230" s="8"/>
    </row>
    <row r="231" spans="1:12" ht="15.75" thickBot="1">
      <c r="A231" s="8"/>
      <c r="B231" s="8"/>
      <c r="C231" s="8" t="s">
        <v>13</v>
      </c>
      <c r="D231" s="29">
        <v>562.12</v>
      </c>
      <c r="E231" s="29">
        <v>20.67</v>
      </c>
      <c r="F231" s="28">
        <v>15.57</v>
      </c>
      <c r="G231" s="28">
        <v>9.98</v>
      </c>
      <c r="H231" s="28">
        <v>1.3</v>
      </c>
      <c r="I231" s="28"/>
      <c r="J231" s="29">
        <f>SUM(D231:I231)</f>
        <v>609.64</v>
      </c>
      <c r="K231" s="8"/>
      <c r="L231" s="8"/>
    </row>
    <row r="232" spans="1:12">
      <c r="A232" s="8"/>
      <c r="B232" s="8"/>
      <c r="C232" s="8"/>
      <c r="D232" s="20"/>
      <c r="E232" s="20"/>
      <c r="F232" s="15"/>
      <c r="G232" s="15"/>
      <c r="H232" s="15"/>
      <c r="I232" s="15"/>
      <c r="J232" s="20"/>
      <c r="K232" s="8"/>
      <c r="L232" s="8"/>
    </row>
    <row r="233" spans="1:12" ht="15.75" thickBot="1">
      <c r="A233" s="8"/>
      <c r="B233" s="8"/>
      <c r="C233" s="8" t="s">
        <v>10</v>
      </c>
      <c r="D233" s="31">
        <f t="shared" ref="D233:I233" si="36">SUM(D230:D231)</f>
        <v>23724.95</v>
      </c>
      <c r="E233" s="31">
        <f t="shared" si="36"/>
        <v>839.43</v>
      </c>
      <c r="F233" s="30">
        <f t="shared" si="36"/>
        <v>626.11</v>
      </c>
      <c r="G233" s="30">
        <f t="shared" si="36"/>
        <v>456.67</v>
      </c>
      <c r="H233" s="30">
        <f t="shared" si="36"/>
        <v>49.15</v>
      </c>
      <c r="I233" s="30">
        <f t="shared" si="36"/>
        <v>0</v>
      </c>
      <c r="J233" s="31">
        <f>SUM(D233:I233)</f>
        <v>25696.31</v>
      </c>
      <c r="K233" s="8"/>
      <c r="L233" s="8"/>
    </row>
    <row r="234" spans="1:12" ht="15.75" thickTop="1">
      <c r="A234" s="8"/>
      <c r="B234" s="8"/>
      <c r="C234" s="8"/>
      <c r="D234" s="20"/>
      <c r="E234" s="20"/>
      <c r="F234" s="15"/>
      <c r="G234" s="15"/>
      <c r="H234" s="15"/>
      <c r="I234" s="15"/>
      <c r="J234" s="20"/>
      <c r="K234" s="8"/>
      <c r="L234" s="8"/>
    </row>
    <row r="235" spans="1:12">
      <c r="A235" s="8"/>
      <c r="B235" s="8"/>
      <c r="C235" s="8"/>
      <c r="D235" s="20"/>
      <c r="E235" s="20"/>
      <c r="F235" s="15"/>
      <c r="G235" s="15"/>
      <c r="H235" s="15"/>
      <c r="I235" s="15"/>
      <c r="J235" s="20"/>
      <c r="K235" s="8"/>
      <c r="L235" s="8"/>
    </row>
    <row r="236" spans="1:12">
      <c r="A236" s="8">
        <v>58</v>
      </c>
      <c r="B236" s="8" t="s">
        <v>53</v>
      </c>
      <c r="C236" s="8" t="s">
        <v>12</v>
      </c>
      <c r="D236" s="20">
        <v>9758.0300000000007</v>
      </c>
      <c r="E236" s="20">
        <v>294.14999999999998</v>
      </c>
      <c r="F236" s="15">
        <v>0</v>
      </c>
      <c r="G236" s="15">
        <v>0</v>
      </c>
      <c r="H236" s="15">
        <v>0</v>
      </c>
      <c r="I236" s="15">
        <v>0</v>
      </c>
      <c r="J236" s="20">
        <f>SUM(D236:I236)</f>
        <v>10052.18</v>
      </c>
      <c r="K236" s="8"/>
      <c r="L236" s="8"/>
    </row>
    <row r="237" spans="1:12" ht="15.75" thickBot="1">
      <c r="A237" s="8"/>
      <c r="B237" s="8"/>
      <c r="C237" s="8" t="s">
        <v>13</v>
      </c>
      <c r="D237" s="29"/>
      <c r="E237" s="29"/>
      <c r="F237" s="28"/>
      <c r="G237" s="28"/>
      <c r="H237" s="28"/>
      <c r="I237" s="28"/>
      <c r="J237" s="34">
        <v>0</v>
      </c>
      <c r="K237" s="8"/>
      <c r="L237" s="8"/>
    </row>
    <row r="238" spans="1:12">
      <c r="A238" s="8"/>
      <c r="B238" s="8"/>
      <c r="C238" s="8"/>
      <c r="D238" s="20"/>
      <c r="E238" s="20"/>
      <c r="F238" s="15"/>
      <c r="G238" s="15"/>
      <c r="H238" s="15"/>
      <c r="I238" s="15"/>
      <c r="J238" s="20"/>
      <c r="K238" s="8"/>
      <c r="L238" s="8"/>
    </row>
    <row r="239" spans="1:12" ht="15.75" thickBot="1">
      <c r="A239" s="8"/>
      <c r="B239" s="8"/>
      <c r="C239" s="8" t="s">
        <v>10</v>
      </c>
      <c r="D239" s="31">
        <f t="shared" ref="D239:I239" si="37">SUM(D236:D237)</f>
        <v>9758.0300000000007</v>
      </c>
      <c r="E239" s="31">
        <f t="shared" si="37"/>
        <v>294.14999999999998</v>
      </c>
      <c r="F239" s="30">
        <f t="shared" si="37"/>
        <v>0</v>
      </c>
      <c r="G239" s="30">
        <f t="shared" si="37"/>
        <v>0</v>
      </c>
      <c r="H239" s="30">
        <f t="shared" si="37"/>
        <v>0</v>
      </c>
      <c r="I239" s="30">
        <f t="shared" si="37"/>
        <v>0</v>
      </c>
      <c r="J239" s="31">
        <f>SUM(D239:I239)</f>
        <v>10052.18</v>
      </c>
      <c r="K239" s="8"/>
      <c r="L239" s="8"/>
    </row>
    <row r="240" spans="1:12" ht="15.75" thickTop="1">
      <c r="A240" s="8"/>
      <c r="B240" s="8"/>
      <c r="C240" s="8"/>
      <c r="D240" s="20"/>
      <c r="E240" s="20"/>
      <c r="F240" s="15"/>
      <c r="G240" s="15"/>
      <c r="H240" s="15"/>
      <c r="I240" s="15"/>
      <c r="J240" s="20"/>
      <c r="K240" s="8"/>
      <c r="L240" s="8"/>
    </row>
    <row r="241" spans="1:12">
      <c r="A241" s="8"/>
      <c r="B241" s="8"/>
      <c r="C241" s="8"/>
      <c r="D241" s="20"/>
      <c r="E241" s="20"/>
      <c r="F241" s="15"/>
      <c r="G241" s="15"/>
      <c r="H241" s="15"/>
      <c r="I241" s="15"/>
      <c r="J241" s="20"/>
      <c r="K241" s="8"/>
      <c r="L241" s="8"/>
    </row>
    <row r="242" spans="1:12">
      <c r="A242" s="8">
        <v>59</v>
      </c>
      <c r="B242" s="8" t="s">
        <v>54</v>
      </c>
      <c r="C242" s="8" t="s">
        <v>12</v>
      </c>
      <c r="D242" s="20">
        <v>14870.08</v>
      </c>
      <c r="E242" s="20">
        <v>431.15</v>
      </c>
      <c r="F242" s="15">
        <v>63.78</v>
      </c>
      <c r="G242" s="15">
        <v>1.1100000000000001</v>
      </c>
      <c r="H242" s="15"/>
      <c r="I242" s="15"/>
      <c r="J242" s="20">
        <f>SUM(D242:I242)</f>
        <v>15366.12</v>
      </c>
      <c r="K242" s="8"/>
      <c r="L242" s="8"/>
    </row>
    <row r="243" spans="1:12" ht="15.75" thickBot="1">
      <c r="A243" s="8"/>
      <c r="B243" s="8"/>
      <c r="C243" s="8" t="s">
        <v>35</v>
      </c>
      <c r="D243" s="29">
        <v>825.17</v>
      </c>
      <c r="E243" s="29">
        <v>18.91</v>
      </c>
      <c r="F243" s="28">
        <v>3.95</v>
      </c>
      <c r="G243" s="28">
        <v>0.15</v>
      </c>
      <c r="H243" s="28"/>
      <c r="I243" s="28"/>
      <c r="J243" s="29">
        <f>SUM(D243:I243)</f>
        <v>848.18</v>
      </c>
      <c r="K243" s="8"/>
      <c r="L243" s="8"/>
    </row>
    <row r="244" spans="1:12">
      <c r="A244" s="8"/>
      <c r="B244" s="8"/>
      <c r="C244" s="8"/>
      <c r="D244" s="20"/>
      <c r="E244" s="20"/>
      <c r="F244" s="15"/>
      <c r="G244" s="15"/>
      <c r="H244" s="15"/>
      <c r="I244" s="15"/>
      <c r="J244" s="20"/>
      <c r="K244" s="8"/>
      <c r="L244" s="8"/>
    </row>
    <row r="245" spans="1:12" ht="15.75" thickBot="1">
      <c r="A245" s="8"/>
      <c r="B245" s="8"/>
      <c r="C245" s="8" t="s">
        <v>10</v>
      </c>
      <c r="D245" s="31">
        <f t="shared" ref="D245:I245" si="38">SUM(D242:D243)</f>
        <v>15695.25</v>
      </c>
      <c r="E245" s="31">
        <f t="shared" si="38"/>
        <v>450.06</v>
      </c>
      <c r="F245" s="30">
        <f t="shared" si="38"/>
        <v>67.73</v>
      </c>
      <c r="G245" s="30">
        <f t="shared" si="38"/>
        <v>1.26</v>
      </c>
      <c r="H245" s="30">
        <f t="shared" si="38"/>
        <v>0</v>
      </c>
      <c r="I245" s="30">
        <f t="shared" si="38"/>
        <v>0</v>
      </c>
      <c r="J245" s="31">
        <f>SUM(D245:I245)</f>
        <v>16214.3</v>
      </c>
      <c r="K245" s="8"/>
      <c r="L245" s="8"/>
    </row>
    <row r="246" spans="1:12" ht="15.75" thickTop="1">
      <c r="A246" s="8"/>
      <c r="B246" s="8"/>
      <c r="C246" s="8"/>
      <c r="D246" s="20"/>
      <c r="E246" s="20"/>
      <c r="F246" s="15"/>
      <c r="G246" s="15"/>
      <c r="H246" s="15"/>
      <c r="I246" s="15"/>
      <c r="J246" s="20"/>
      <c r="K246" s="8"/>
      <c r="L246" s="8"/>
    </row>
    <row r="247" spans="1:12">
      <c r="A247" s="8"/>
      <c r="B247" s="8"/>
      <c r="C247" s="8"/>
      <c r="D247" s="20"/>
      <c r="E247" s="20"/>
      <c r="F247" s="15"/>
      <c r="G247" s="15"/>
      <c r="H247" s="15"/>
      <c r="I247" s="15"/>
      <c r="J247" s="20"/>
      <c r="K247" s="8"/>
      <c r="L247" s="8"/>
    </row>
    <row r="248" spans="1:12" ht="15.75" thickBot="1">
      <c r="A248" s="8">
        <v>60</v>
      </c>
      <c r="B248" s="8" t="s">
        <v>55</v>
      </c>
      <c r="C248" s="8" t="s">
        <v>12</v>
      </c>
      <c r="D248" s="29">
        <v>55487.86</v>
      </c>
      <c r="E248" s="29">
        <v>862.31</v>
      </c>
      <c r="F248" s="28">
        <v>640.66</v>
      </c>
      <c r="G248" s="28">
        <v>210.14</v>
      </c>
      <c r="H248" s="28">
        <v>5.21</v>
      </c>
      <c r="I248" s="28">
        <v>0</v>
      </c>
      <c r="J248" s="29">
        <f>SUM(D248:I248)</f>
        <v>57206.18</v>
      </c>
      <c r="K248" s="8"/>
      <c r="L248" s="8"/>
    </row>
    <row r="249" spans="1:12">
      <c r="A249" s="8"/>
      <c r="B249" s="8"/>
      <c r="C249" s="8"/>
      <c r="D249" s="20"/>
      <c r="E249" s="20"/>
      <c r="F249" s="15"/>
      <c r="G249" s="15"/>
      <c r="H249" s="15"/>
      <c r="I249" s="15"/>
      <c r="J249" s="20"/>
      <c r="K249" s="8"/>
      <c r="L249" s="8"/>
    </row>
    <row r="250" spans="1:12" ht="15.75" thickBot="1">
      <c r="A250" s="8"/>
      <c r="B250" s="8"/>
      <c r="C250" s="8" t="s">
        <v>10</v>
      </c>
      <c r="D250" s="31">
        <f t="shared" ref="D250:I250" si="39">SUM(D248:D249)</f>
        <v>55487.86</v>
      </c>
      <c r="E250" s="31">
        <f t="shared" si="39"/>
        <v>862.31</v>
      </c>
      <c r="F250" s="30">
        <f t="shared" si="39"/>
        <v>640.66</v>
      </c>
      <c r="G250" s="30">
        <f t="shared" si="39"/>
        <v>210.14</v>
      </c>
      <c r="H250" s="30">
        <f t="shared" si="39"/>
        <v>5.21</v>
      </c>
      <c r="I250" s="30">
        <f t="shared" si="39"/>
        <v>0</v>
      </c>
      <c r="J250" s="31">
        <f>SUM(D250:I250)</f>
        <v>57206.18</v>
      </c>
      <c r="K250" s="8"/>
      <c r="L250" s="8"/>
    </row>
    <row r="251" spans="1:12" ht="15.75" thickTop="1">
      <c r="A251" s="8"/>
      <c r="B251" s="8"/>
      <c r="C251" s="8"/>
      <c r="D251" s="20"/>
      <c r="E251" s="20"/>
      <c r="F251" s="15"/>
      <c r="G251" s="15"/>
      <c r="H251" s="15"/>
      <c r="I251" s="15"/>
      <c r="J251" s="20"/>
      <c r="K251" s="8"/>
      <c r="L251" s="8"/>
    </row>
    <row r="252" spans="1:12">
      <c r="A252" s="8"/>
      <c r="B252" s="8"/>
      <c r="C252" s="8"/>
      <c r="D252" s="20"/>
      <c r="E252" s="20"/>
      <c r="F252" s="15"/>
      <c r="G252" s="15"/>
      <c r="H252" s="15"/>
      <c r="I252" s="15"/>
      <c r="J252" s="20"/>
      <c r="K252" s="8"/>
      <c r="L252" s="8"/>
    </row>
    <row r="253" spans="1:12">
      <c r="A253" s="8">
        <v>61</v>
      </c>
      <c r="B253" s="8" t="s">
        <v>56</v>
      </c>
      <c r="C253" s="8" t="s">
        <v>12</v>
      </c>
      <c r="D253" s="20">
        <v>13514.82</v>
      </c>
      <c r="E253" s="20"/>
      <c r="F253" s="15"/>
      <c r="G253" s="15"/>
      <c r="H253" s="15"/>
      <c r="I253" s="15"/>
      <c r="J253" s="20">
        <f>SUM(D253:I253)</f>
        <v>13514.82</v>
      </c>
      <c r="K253" s="8"/>
      <c r="L253" s="8"/>
    </row>
    <row r="254" spans="1:12">
      <c r="A254" s="8"/>
      <c r="B254" s="8"/>
      <c r="C254" s="8" t="s">
        <v>13</v>
      </c>
      <c r="D254" s="20">
        <v>210.35</v>
      </c>
      <c r="E254" s="20"/>
      <c r="F254" s="15"/>
      <c r="G254" s="15"/>
      <c r="H254" s="15"/>
      <c r="I254" s="15"/>
      <c r="J254" s="20">
        <f>SUM(D254:I254)</f>
        <v>210.35</v>
      </c>
      <c r="K254" s="8"/>
      <c r="L254" s="8"/>
    </row>
    <row r="255" spans="1:12" ht="15.75" thickBot="1">
      <c r="A255" s="8"/>
      <c r="B255" s="8"/>
      <c r="C255" s="8" t="s">
        <v>99</v>
      </c>
      <c r="D255" s="29">
        <v>851.13</v>
      </c>
      <c r="E255" s="29"/>
      <c r="F255" s="28"/>
      <c r="G255" s="28"/>
      <c r="H255" s="28"/>
      <c r="I255" s="28"/>
      <c r="J255" s="29">
        <f>SUM(D255:I255)</f>
        <v>851.13</v>
      </c>
      <c r="K255" s="8"/>
      <c r="L255" s="8"/>
    </row>
    <row r="256" spans="1:12">
      <c r="A256" s="8"/>
      <c r="B256" s="8"/>
      <c r="C256" s="8"/>
      <c r="D256" s="20"/>
      <c r="E256" s="20"/>
      <c r="F256" s="15"/>
      <c r="G256" s="15"/>
      <c r="H256" s="15"/>
      <c r="I256" s="15"/>
      <c r="J256" s="20"/>
      <c r="K256" s="8"/>
      <c r="L256" s="8"/>
    </row>
    <row r="257" spans="1:12" ht="15.75" thickBot="1">
      <c r="A257" s="8"/>
      <c r="B257" s="8"/>
      <c r="C257" s="8" t="s">
        <v>10</v>
      </c>
      <c r="D257" s="31">
        <f t="shared" ref="D257:J257" si="40">SUM(D253:D255)</f>
        <v>14576.3</v>
      </c>
      <c r="E257" s="31">
        <f t="shared" si="40"/>
        <v>0</v>
      </c>
      <c r="F257" s="30">
        <f t="shared" si="40"/>
        <v>0</v>
      </c>
      <c r="G257" s="30">
        <f t="shared" si="40"/>
        <v>0</v>
      </c>
      <c r="H257" s="30">
        <f t="shared" si="40"/>
        <v>0</v>
      </c>
      <c r="I257" s="30">
        <f t="shared" si="40"/>
        <v>0</v>
      </c>
      <c r="J257" s="30">
        <f t="shared" si="40"/>
        <v>14576.3</v>
      </c>
      <c r="K257" s="8"/>
      <c r="L257" s="8"/>
    </row>
    <row r="258" spans="1:12" ht="15.75" thickTop="1">
      <c r="A258" s="8"/>
      <c r="B258" s="8"/>
      <c r="C258" s="8"/>
      <c r="D258" s="20"/>
      <c r="E258" s="20"/>
      <c r="F258" s="15"/>
      <c r="G258" s="15"/>
      <c r="H258" s="15"/>
      <c r="I258" s="15"/>
      <c r="J258" s="20"/>
      <c r="K258" s="8"/>
      <c r="L258" s="8"/>
    </row>
    <row r="259" spans="1:12">
      <c r="A259" s="8"/>
      <c r="B259" s="8"/>
      <c r="C259" s="8"/>
      <c r="D259" s="20"/>
      <c r="E259" s="20"/>
      <c r="F259" s="15"/>
      <c r="G259" s="15"/>
      <c r="H259" s="15"/>
      <c r="I259" s="15"/>
      <c r="J259" s="20"/>
      <c r="K259" s="8"/>
      <c r="L259" s="8"/>
    </row>
    <row r="260" spans="1:12">
      <c r="A260" s="8">
        <v>62</v>
      </c>
      <c r="B260" s="8" t="s">
        <v>57</v>
      </c>
      <c r="C260" s="8" t="s">
        <v>12</v>
      </c>
      <c r="D260" s="20">
        <v>4749.09</v>
      </c>
      <c r="E260" s="20"/>
      <c r="F260" s="15"/>
      <c r="G260" s="15"/>
      <c r="H260" s="15"/>
      <c r="I260" s="15"/>
      <c r="J260" s="20">
        <f>SUM(D260:I260)</f>
        <v>4749.09</v>
      </c>
      <c r="K260" s="8"/>
      <c r="L260" s="8"/>
    </row>
    <row r="261" spans="1:12" ht="15.75" thickBot="1">
      <c r="A261" s="8"/>
      <c r="B261" s="8"/>
      <c r="C261" s="8" t="s">
        <v>13</v>
      </c>
      <c r="D261" s="29">
        <v>97.42</v>
      </c>
      <c r="E261" s="29"/>
      <c r="F261" s="28"/>
      <c r="G261" s="28"/>
      <c r="H261" s="28"/>
      <c r="I261" s="28"/>
      <c r="J261" s="29">
        <f>SUM(D261:I261)</f>
        <v>97.42</v>
      </c>
      <c r="K261" s="8"/>
      <c r="L261" s="8"/>
    </row>
    <row r="262" spans="1:12">
      <c r="A262" s="8"/>
      <c r="B262" s="8"/>
      <c r="C262" s="8"/>
      <c r="D262" s="20"/>
      <c r="E262" s="20"/>
      <c r="F262" s="15"/>
      <c r="G262" s="15"/>
      <c r="H262" s="15"/>
      <c r="I262" s="15"/>
      <c r="J262" s="20"/>
      <c r="K262" s="8"/>
      <c r="L262" s="8"/>
    </row>
    <row r="263" spans="1:12" ht="15.75" thickBot="1">
      <c r="A263" s="8"/>
      <c r="B263" s="8"/>
      <c r="C263" s="8" t="s">
        <v>10</v>
      </c>
      <c r="D263" s="31">
        <f t="shared" ref="D263:I263" si="41">SUM(D260:D261)</f>
        <v>4846.51</v>
      </c>
      <c r="E263" s="31">
        <f t="shared" si="41"/>
        <v>0</v>
      </c>
      <c r="F263" s="30">
        <f t="shared" si="41"/>
        <v>0</v>
      </c>
      <c r="G263" s="30">
        <f t="shared" si="41"/>
        <v>0</v>
      </c>
      <c r="H263" s="30">
        <f t="shared" si="41"/>
        <v>0</v>
      </c>
      <c r="I263" s="30">
        <f t="shared" si="41"/>
        <v>0</v>
      </c>
      <c r="J263" s="31">
        <f>SUM(D263:I263)</f>
        <v>4846.51</v>
      </c>
      <c r="K263" s="8"/>
      <c r="L263" s="8"/>
    </row>
    <row r="264" spans="1:12" ht="15.75" thickTop="1">
      <c r="A264" s="8"/>
      <c r="B264" s="8"/>
      <c r="C264" s="8"/>
      <c r="D264" s="20"/>
      <c r="E264" s="20"/>
      <c r="F264" s="15"/>
      <c r="G264" s="15"/>
      <c r="H264" s="15"/>
      <c r="I264" s="15"/>
      <c r="J264" s="20"/>
      <c r="K264" s="8"/>
      <c r="L264" s="8"/>
    </row>
    <row r="265" spans="1:12">
      <c r="A265" s="8"/>
      <c r="B265" s="8"/>
      <c r="C265" s="8"/>
      <c r="D265" s="20"/>
      <c r="E265" s="20"/>
      <c r="F265" s="15"/>
      <c r="G265" s="15"/>
      <c r="H265" s="15"/>
      <c r="I265" s="15"/>
      <c r="J265" s="20"/>
      <c r="K265" s="8"/>
      <c r="L265" s="8"/>
    </row>
    <row r="266" spans="1:12">
      <c r="A266" s="8">
        <v>63</v>
      </c>
      <c r="B266" s="8" t="s">
        <v>58</v>
      </c>
      <c r="C266" s="8" t="s">
        <v>12</v>
      </c>
      <c r="D266" s="20">
        <v>11378.77</v>
      </c>
      <c r="E266" s="20">
        <v>211.77</v>
      </c>
      <c r="F266" s="15">
        <v>26.39</v>
      </c>
      <c r="G266" s="15">
        <v>26.05</v>
      </c>
      <c r="H266" s="15"/>
      <c r="I266" s="15"/>
      <c r="J266" s="20">
        <f>SUM(D266:I266)</f>
        <v>11642.98</v>
      </c>
      <c r="K266" s="8"/>
      <c r="L266" s="8"/>
    </row>
    <row r="267" spans="1:12" ht="15.75" thickBot="1">
      <c r="A267" s="8"/>
      <c r="B267" s="8"/>
      <c r="C267" s="8" t="s">
        <v>13</v>
      </c>
      <c r="D267" s="29">
        <v>448.54</v>
      </c>
      <c r="E267" s="29">
        <v>7.95</v>
      </c>
      <c r="F267" s="28">
        <v>2.46</v>
      </c>
      <c r="G267" s="28">
        <v>2.2599999999999998</v>
      </c>
      <c r="H267" s="28"/>
      <c r="I267" s="28"/>
      <c r="J267" s="29">
        <f>SUM(D267:I267)</f>
        <v>461.21</v>
      </c>
      <c r="K267" s="8"/>
      <c r="L267" s="8"/>
    </row>
    <row r="268" spans="1:12">
      <c r="A268" s="8"/>
      <c r="B268" s="8"/>
      <c r="C268" s="8"/>
      <c r="D268" s="20"/>
      <c r="E268" s="20"/>
      <c r="F268" s="15"/>
      <c r="G268" s="15"/>
      <c r="H268" s="15"/>
      <c r="I268" s="15"/>
      <c r="J268" s="20"/>
      <c r="K268" s="8"/>
      <c r="L268" s="8"/>
    </row>
    <row r="269" spans="1:12" ht="15.75" thickBot="1">
      <c r="A269" s="8"/>
      <c r="B269" s="8"/>
      <c r="C269" s="8" t="s">
        <v>10</v>
      </c>
      <c r="D269" s="31">
        <f t="shared" ref="D269:I269" si="42">SUM(D266:D267)</f>
        <v>11827.310000000001</v>
      </c>
      <c r="E269" s="31">
        <f t="shared" si="42"/>
        <v>219.72</v>
      </c>
      <c r="F269" s="30">
        <f t="shared" si="42"/>
        <v>28.85</v>
      </c>
      <c r="G269" s="30">
        <f t="shared" si="42"/>
        <v>28.310000000000002</v>
      </c>
      <c r="H269" s="30">
        <f t="shared" si="42"/>
        <v>0</v>
      </c>
      <c r="I269" s="30">
        <f t="shared" si="42"/>
        <v>0</v>
      </c>
      <c r="J269" s="31">
        <f>SUM(D269:I269)</f>
        <v>12104.19</v>
      </c>
      <c r="K269" s="8"/>
      <c r="L269" s="8"/>
    </row>
    <row r="270" spans="1:12" ht="15.75" thickTop="1">
      <c r="A270" s="8"/>
      <c r="B270" s="8"/>
      <c r="C270" s="8"/>
      <c r="D270" s="20"/>
      <c r="E270" s="20"/>
      <c r="F270" s="15"/>
      <c r="G270" s="15"/>
      <c r="H270" s="15"/>
      <c r="I270" s="15"/>
      <c r="J270" s="20"/>
      <c r="K270" s="8"/>
      <c r="L270" s="8"/>
    </row>
    <row r="271" spans="1:12">
      <c r="A271" s="8"/>
      <c r="B271" s="8"/>
      <c r="C271" s="8"/>
      <c r="D271" s="20"/>
      <c r="E271" s="20"/>
      <c r="F271" s="15"/>
      <c r="G271" s="15"/>
      <c r="H271" s="15"/>
      <c r="I271" s="15"/>
      <c r="J271" s="20"/>
      <c r="K271" s="8"/>
      <c r="L271" s="8"/>
    </row>
    <row r="272" spans="1:12" ht="15.75" thickBot="1">
      <c r="A272" s="8">
        <v>64</v>
      </c>
      <c r="B272" s="8" t="s">
        <v>59</v>
      </c>
      <c r="C272" s="8" t="s">
        <v>12</v>
      </c>
      <c r="D272" s="29">
        <v>54315.13</v>
      </c>
      <c r="E272" s="29">
        <v>2099.4499999999998</v>
      </c>
      <c r="F272" s="28">
        <v>1967.59</v>
      </c>
      <c r="G272" s="28">
        <v>583.16</v>
      </c>
      <c r="H272" s="28">
        <v>144.85</v>
      </c>
      <c r="I272" s="28">
        <v>0</v>
      </c>
      <c r="J272" s="29">
        <f>SUM(D272:I272)</f>
        <v>59110.179999999993</v>
      </c>
      <c r="K272" s="8"/>
      <c r="L272" s="8"/>
    </row>
    <row r="273" spans="1:12">
      <c r="A273" s="8"/>
      <c r="B273" s="8"/>
      <c r="C273" s="8"/>
      <c r="D273" s="20"/>
      <c r="E273" s="20"/>
      <c r="F273" s="15"/>
      <c r="G273" s="15"/>
      <c r="H273" s="15"/>
      <c r="I273" s="15"/>
      <c r="J273" s="20"/>
      <c r="K273" s="8"/>
      <c r="L273" s="8"/>
    </row>
    <row r="274" spans="1:12" ht="15.75" thickBot="1">
      <c r="A274" s="8"/>
      <c r="B274" s="8"/>
      <c r="C274" s="8" t="s">
        <v>10</v>
      </c>
      <c r="D274" s="31">
        <f t="shared" ref="D274:I274" si="43">SUM(D272:D273)</f>
        <v>54315.13</v>
      </c>
      <c r="E274" s="31">
        <f t="shared" si="43"/>
        <v>2099.4499999999998</v>
      </c>
      <c r="F274" s="30">
        <f t="shared" si="43"/>
        <v>1967.59</v>
      </c>
      <c r="G274" s="30">
        <f t="shared" si="43"/>
        <v>583.16</v>
      </c>
      <c r="H274" s="30">
        <f t="shared" si="43"/>
        <v>144.85</v>
      </c>
      <c r="I274" s="30">
        <f t="shared" si="43"/>
        <v>0</v>
      </c>
      <c r="J274" s="31">
        <f>SUM(D274:I274)</f>
        <v>59110.179999999993</v>
      </c>
      <c r="K274" s="8"/>
      <c r="L274" s="8"/>
    </row>
    <row r="275" spans="1:12" ht="15.75" thickTop="1">
      <c r="A275" s="8"/>
      <c r="B275" s="8"/>
      <c r="C275" s="8"/>
      <c r="D275" s="20"/>
      <c r="E275" s="20"/>
      <c r="F275" s="15"/>
      <c r="G275" s="15"/>
      <c r="H275" s="15"/>
      <c r="I275" s="15"/>
      <c r="J275" s="20"/>
      <c r="K275" s="8"/>
      <c r="L275" s="8"/>
    </row>
    <row r="276" spans="1:12">
      <c r="A276" s="8"/>
      <c r="B276" s="12"/>
      <c r="C276" s="12"/>
      <c r="D276" s="36"/>
      <c r="E276" s="36"/>
      <c r="F276" s="16"/>
      <c r="G276" s="13"/>
      <c r="H276" s="13"/>
      <c r="I276" s="13"/>
      <c r="J276" s="20"/>
      <c r="K276" s="8"/>
      <c r="L276" s="8"/>
    </row>
    <row r="277" spans="1:12">
      <c r="A277" s="8">
        <v>65</v>
      </c>
      <c r="B277" s="8" t="s">
        <v>60</v>
      </c>
      <c r="C277" s="8" t="s">
        <v>12</v>
      </c>
      <c r="D277" s="20">
        <v>7295.21</v>
      </c>
      <c r="E277" s="20">
        <v>47.95</v>
      </c>
      <c r="F277" s="15">
        <v>0</v>
      </c>
      <c r="G277" s="15">
        <v>0</v>
      </c>
      <c r="H277" s="15">
        <v>0</v>
      </c>
      <c r="I277" s="15">
        <v>0</v>
      </c>
      <c r="J277" s="20">
        <f>SUM(D277:I277)</f>
        <v>7343.16</v>
      </c>
      <c r="K277" s="8"/>
      <c r="L277" s="8"/>
    </row>
    <row r="278" spans="1:12" ht="15.75" thickBot="1">
      <c r="A278" s="8"/>
      <c r="B278" s="8"/>
      <c r="C278" s="8" t="s">
        <v>13</v>
      </c>
      <c r="D278" s="29"/>
      <c r="E278" s="29"/>
      <c r="F278" s="28"/>
      <c r="G278" s="28"/>
      <c r="H278" s="28"/>
      <c r="I278" s="28"/>
      <c r="J278" s="29"/>
      <c r="K278" s="8"/>
      <c r="L278" s="8"/>
    </row>
    <row r="279" spans="1:12">
      <c r="A279" s="8"/>
      <c r="B279" s="8"/>
      <c r="C279" s="8"/>
      <c r="D279" s="20"/>
      <c r="E279" s="20"/>
      <c r="F279" s="15"/>
      <c r="G279" s="15"/>
      <c r="H279" s="15"/>
      <c r="I279" s="15"/>
      <c r="J279" s="20"/>
      <c r="K279" s="8"/>
      <c r="L279" s="8"/>
    </row>
    <row r="280" spans="1:12" ht="15.75" thickBot="1">
      <c r="A280" s="8"/>
      <c r="B280" s="8"/>
      <c r="C280" s="8" t="s">
        <v>10</v>
      </c>
      <c r="D280" s="31">
        <f t="shared" ref="D280:I280" si="44">SUM(D277:D278)</f>
        <v>7295.21</v>
      </c>
      <c r="E280" s="31">
        <f t="shared" si="44"/>
        <v>47.95</v>
      </c>
      <c r="F280" s="30">
        <f t="shared" si="44"/>
        <v>0</v>
      </c>
      <c r="G280" s="30">
        <f t="shared" si="44"/>
        <v>0</v>
      </c>
      <c r="H280" s="30">
        <f t="shared" si="44"/>
        <v>0</v>
      </c>
      <c r="I280" s="30">
        <f t="shared" si="44"/>
        <v>0</v>
      </c>
      <c r="J280" s="31">
        <f>SUM(D280:I280)</f>
        <v>7343.16</v>
      </c>
      <c r="K280" s="8"/>
      <c r="L280" s="8"/>
    </row>
    <row r="281" spans="1:12" ht="15.75" thickTop="1">
      <c r="A281" s="8"/>
      <c r="B281" s="8"/>
      <c r="C281" s="8"/>
      <c r="D281" s="20"/>
      <c r="E281" s="20"/>
      <c r="F281" s="15"/>
      <c r="G281" s="15"/>
      <c r="H281" s="15"/>
      <c r="I281" s="15"/>
      <c r="J281" s="20"/>
      <c r="K281" s="8"/>
      <c r="L281" s="8"/>
    </row>
    <row r="282" spans="1:12">
      <c r="A282" s="8"/>
      <c r="B282" s="8"/>
      <c r="C282" s="8"/>
      <c r="D282" s="20"/>
      <c r="E282" s="20"/>
      <c r="F282" s="15"/>
      <c r="G282" s="15"/>
      <c r="H282" s="15"/>
      <c r="I282" s="15"/>
      <c r="J282" s="20"/>
      <c r="K282" s="8"/>
      <c r="L282" s="8"/>
    </row>
    <row r="283" spans="1:12">
      <c r="A283" s="8">
        <v>66</v>
      </c>
      <c r="B283" s="8" t="s">
        <v>61</v>
      </c>
      <c r="C283" s="8" t="s">
        <v>12</v>
      </c>
      <c r="D283" s="20">
        <v>9670.2900000000009</v>
      </c>
      <c r="E283" s="20">
        <v>704.16</v>
      </c>
      <c r="F283" s="15">
        <v>513.20000000000005</v>
      </c>
      <c r="G283" s="15">
        <v>39.79</v>
      </c>
      <c r="H283" s="15">
        <v>32.409999999999997</v>
      </c>
      <c r="I283" s="15">
        <v>8.18</v>
      </c>
      <c r="J283" s="20">
        <f>SUM(D283:I283)</f>
        <v>10968.030000000002</v>
      </c>
      <c r="K283" s="8"/>
      <c r="L283" s="8"/>
    </row>
    <row r="284" spans="1:12">
      <c r="A284" s="8"/>
      <c r="B284" s="8"/>
      <c r="C284" s="8" t="s">
        <v>13</v>
      </c>
      <c r="D284" s="20"/>
      <c r="E284" s="20"/>
      <c r="F284" s="15"/>
      <c r="G284" s="15"/>
      <c r="H284" s="15"/>
      <c r="I284" s="15"/>
      <c r="J284" s="35">
        <f>SUM(D284:I284)</f>
        <v>0</v>
      </c>
      <c r="K284" s="8"/>
      <c r="L284" s="8"/>
    </row>
    <row r="285" spans="1:12" ht="15.75" thickBot="1">
      <c r="A285" s="8"/>
      <c r="B285" s="8"/>
      <c r="C285" s="8" t="s">
        <v>73</v>
      </c>
      <c r="D285" s="29">
        <v>641.27</v>
      </c>
      <c r="E285" s="29">
        <v>46.91</v>
      </c>
      <c r="F285" s="28">
        <v>34.42</v>
      </c>
      <c r="G285" s="27">
        <v>2.69</v>
      </c>
      <c r="H285" s="27">
        <v>2.3199999999999998</v>
      </c>
      <c r="I285" s="27">
        <v>0.61</v>
      </c>
      <c r="J285" s="29">
        <f>SUM(D285:I285)</f>
        <v>728.22</v>
      </c>
      <c r="K285" s="8"/>
      <c r="L285" s="8"/>
    </row>
    <row r="286" spans="1:12">
      <c r="A286" s="8"/>
      <c r="B286" s="8"/>
      <c r="C286" s="8"/>
      <c r="D286" s="20"/>
      <c r="E286" s="20"/>
      <c r="F286" s="15"/>
      <c r="G286" s="8"/>
      <c r="H286" s="8"/>
      <c r="I286" s="8"/>
      <c r="J286" s="20"/>
      <c r="K286" s="8"/>
      <c r="L286" s="8"/>
    </row>
    <row r="287" spans="1:12" ht="15.75" thickBot="1">
      <c r="A287" s="8"/>
      <c r="B287" s="8"/>
      <c r="C287" s="8" t="s">
        <v>10</v>
      </c>
      <c r="D287" s="31">
        <f t="shared" ref="D287:I287" si="45">SUM(D283:D285)</f>
        <v>10311.560000000001</v>
      </c>
      <c r="E287" s="31">
        <f t="shared" si="45"/>
        <v>751.06999999999994</v>
      </c>
      <c r="F287" s="30">
        <f t="shared" si="45"/>
        <v>547.62</v>
      </c>
      <c r="G287" s="30">
        <f t="shared" si="45"/>
        <v>42.48</v>
      </c>
      <c r="H287" s="30">
        <f t="shared" si="45"/>
        <v>34.729999999999997</v>
      </c>
      <c r="I287" s="30">
        <f t="shared" si="45"/>
        <v>8.7899999999999991</v>
      </c>
      <c r="J287" s="31">
        <f>SUM(D287:I287)</f>
        <v>11696.250000000002</v>
      </c>
      <c r="K287" s="8"/>
      <c r="L287" s="8"/>
    </row>
    <row r="288" spans="1:12" ht="15.75" thickTop="1">
      <c r="A288" s="8"/>
      <c r="B288" s="8"/>
      <c r="C288" s="8"/>
      <c r="D288" s="20"/>
      <c r="E288" s="20"/>
      <c r="F288" s="15"/>
      <c r="G288" s="15"/>
      <c r="H288" s="15"/>
      <c r="I288" s="15"/>
      <c r="J288" s="20"/>
      <c r="K288" s="8"/>
      <c r="L288" s="8"/>
    </row>
    <row r="289" spans="1:12">
      <c r="A289" s="8"/>
      <c r="B289" s="8"/>
      <c r="C289" s="8"/>
      <c r="D289" s="20"/>
      <c r="E289" s="20"/>
      <c r="F289" s="15"/>
      <c r="G289" s="15"/>
      <c r="H289" s="15"/>
      <c r="I289" s="15"/>
      <c r="J289" s="20"/>
      <c r="K289" s="8"/>
      <c r="L289" s="8"/>
    </row>
    <row r="290" spans="1:12">
      <c r="A290" s="8">
        <v>67</v>
      </c>
      <c r="B290" s="8" t="s">
        <v>62</v>
      </c>
      <c r="C290" s="8" t="s">
        <v>12</v>
      </c>
      <c r="D290" s="20">
        <v>11298.81</v>
      </c>
      <c r="E290" s="20">
        <v>309.39999999999998</v>
      </c>
      <c r="F290" s="15">
        <v>0.62</v>
      </c>
      <c r="G290" s="15">
        <v>0.78</v>
      </c>
      <c r="H290" s="15">
        <v>0.88</v>
      </c>
      <c r="I290" s="15"/>
      <c r="J290" s="20">
        <f>SUM(D290:I290)</f>
        <v>11610.49</v>
      </c>
      <c r="K290" s="8"/>
      <c r="L290" s="8"/>
    </row>
    <row r="291" spans="1:12" ht="15.75" thickBot="1">
      <c r="A291" s="8"/>
      <c r="B291" s="8"/>
      <c r="C291" s="8" t="s">
        <v>13</v>
      </c>
      <c r="D291" s="29">
        <v>274.39999999999998</v>
      </c>
      <c r="E291" s="29">
        <v>7.82</v>
      </c>
      <c r="F291" s="28">
        <v>0.3</v>
      </c>
      <c r="G291" s="28">
        <v>0.15</v>
      </c>
      <c r="H291" s="28"/>
      <c r="I291" s="28"/>
      <c r="J291" s="29">
        <f>SUM(D291:I291)</f>
        <v>282.66999999999996</v>
      </c>
      <c r="K291" s="8"/>
      <c r="L291" s="8"/>
    </row>
    <row r="292" spans="1:12">
      <c r="A292" s="8"/>
      <c r="B292" s="8"/>
      <c r="C292" s="8"/>
      <c r="D292" s="20"/>
      <c r="E292" s="20"/>
      <c r="F292" s="15"/>
      <c r="G292" s="15"/>
      <c r="H292" s="15"/>
      <c r="I292" s="15"/>
      <c r="J292" s="20"/>
      <c r="K292" s="8"/>
      <c r="L292" s="8"/>
    </row>
    <row r="293" spans="1:12" ht="15.75" thickBot="1">
      <c r="A293" s="8"/>
      <c r="B293" s="8"/>
      <c r="C293" s="8" t="s">
        <v>10</v>
      </c>
      <c r="D293" s="31">
        <f t="shared" ref="D293:I293" si="46">SUM(D290:D291)</f>
        <v>11573.21</v>
      </c>
      <c r="E293" s="31">
        <f t="shared" si="46"/>
        <v>317.21999999999997</v>
      </c>
      <c r="F293" s="30">
        <f t="shared" si="46"/>
        <v>0.91999999999999993</v>
      </c>
      <c r="G293" s="30">
        <f t="shared" si="46"/>
        <v>0.93</v>
      </c>
      <c r="H293" s="30">
        <f t="shared" si="46"/>
        <v>0.88</v>
      </c>
      <c r="I293" s="30">
        <f t="shared" si="46"/>
        <v>0</v>
      </c>
      <c r="J293" s="31">
        <f>SUM(D293:I293)</f>
        <v>11893.159999999998</v>
      </c>
      <c r="K293" s="8"/>
      <c r="L293" s="8"/>
    </row>
    <row r="294" spans="1:12" ht="15.75" thickTop="1">
      <c r="A294" s="8"/>
      <c r="B294" s="8"/>
      <c r="C294" s="8"/>
      <c r="D294" s="20"/>
      <c r="E294" s="20"/>
      <c r="F294" s="15"/>
      <c r="G294" s="15"/>
      <c r="H294" s="15"/>
      <c r="I294" s="15"/>
      <c r="J294" s="20"/>
      <c r="K294" s="8"/>
      <c r="L294" s="8"/>
    </row>
    <row r="295" spans="1:12">
      <c r="A295" s="8"/>
      <c r="B295" s="8"/>
      <c r="C295" s="8"/>
      <c r="D295" s="20"/>
      <c r="E295" s="20"/>
      <c r="F295" s="15"/>
      <c r="G295" s="15"/>
      <c r="H295" s="15"/>
      <c r="I295" s="15"/>
      <c r="J295" s="20"/>
      <c r="K295" s="8"/>
      <c r="L295" s="8"/>
    </row>
    <row r="296" spans="1:12">
      <c r="A296" s="8">
        <v>68</v>
      </c>
      <c r="B296" s="8" t="s">
        <v>63</v>
      </c>
      <c r="C296" s="8" t="s">
        <v>12</v>
      </c>
      <c r="D296" s="20">
        <v>4611.09</v>
      </c>
      <c r="E296" s="20">
        <v>0</v>
      </c>
      <c r="F296" s="15">
        <v>0</v>
      </c>
      <c r="G296" s="15">
        <v>0</v>
      </c>
      <c r="H296" s="15">
        <v>0</v>
      </c>
      <c r="I296" s="15">
        <v>0</v>
      </c>
      <c r="J296" s="20">
        <f>SUM(D296:I296)</f>
        <v>4611.09</v>
      </c>
      <c r="K296" s="8"/>
      <c r="L296" s="8"/>
    </row>
    <row r="297" spans="1:12" ht="15.75" thickBot="1">
      <c r="A297" s="8"/>
      <c r="B297" s="8"/>
      <c r="C297" s="8" t="s">
        <v>13</v>
      </c>
      <c r="D297" s="29"/>
      <c r="E297" s="29"/>
      <c r="F297" s="28"/>
      <c r="G297" s="28"/>
      <c r="H297" s="28"/>
      <c r="I297" s="28"/>
      <c r="J297" s="29"/>
      <c r="K297" s="8"/>
      <c r="L297" s="8"/>
    </row>
    <row r="298" spans="1:12">
      <c r="A298" s="8"/>
      <c r="B298" s="8"/>
      <c r="C298" s="8"/>
      <c r="D298" s="20"/>
      <c r="E298" s="20"/>
      <c r="F298" s="15"/>
      <c r="G298" s="15"/>
      <c r="H298" s="15"/>
      <c r="I298" s="15"/>
      <c r="J298" s="20"/>
      <c r="K298" s="8"/>
      <c r="L298" s="8"/>
    </row>
    <row r="299" spans="1:12" ht="15.75" thickBot="1">
      <c r="A299" s="8"/>
      <c r="B299" s="8"/>
      <c r="C299" s="8" t="s">
        <v>10</v>
      </c>
      <c r="D299" s="31">
        <f t="shared" ref="D299:I299" si="47">SUM(D296:D297)</f>
        <v>4611.09</v>
      </c>
      <c r="E299" s="31">
        <f t="shared" si="47"/>
        <v>0</v>
      </c>
      <c r="F299" s="30">
        <f t="shared" si="47"/>
        <v>0</v>
      </c>
      <c r="G299" s="30">
        <f t="shared" si="47"/>
        <v>0</v>
      </c>
      <c r="H299" s="30">
        <f t="shared" si="47"/>
        <v>0</v>
      </c>
      <c r="I299" s="30">
        <f t="shared" si="47"/>
        <v>0</v>
      </c>
      <c r="J299" s="31">
        <f>SUM(D299:I299)</f>
        <v>4611.09</v>
      </c>
      <c r="K299" s="8"/>
      <c r="L299" s="8"/>
    </row>
    <row r="300" spans="1:12" ht="15.75" thickTop="1">
      <c r="A300" s="8"/>
      <c r="B300" s="8"/>
      <c r="C300" s="8"/>
      <c r="D300" s="20"/>
      <c r="E300" s="20"/>
      <c r="F300" s="15"/>
      <c r="G300" s="15"/>
      <c r="H300" s="15"/>
      <c r="I300" s="15"/>
      <c r="J300" s="20"/>
      <c r="K300" s="8"/>
      <c r="L300" s="8"/>
    </row>
    <row r="301" spans="1:12">
      <c r="A301" s="8"/>
      <c r="B301" s="8"/>
      <c r="C301" s="8"/>
      <c r="D301" s="20"/>
      <c r="E301" s="20"/>
      <c r="F301" s="15"/>
      <c r="G301" s="15"/>
      <c r="H301" s="15"/>
      <c r="I301" s="15"/>
      <c r="J301" s="20"/>
      <c r="K301" s="8"/>
      <c r="L301" s="8"/>
    </row>
    <row r="302" spans="1:12">
      <c r="A302" s="8">
        <v>69</v>
      </c>
      <c r="B302" s="8" t="s">
        <v>64</v>
      </c>
      <c r="C302" s="8" t="s">
        <v>12</v>
      </c>
      <c r="D302" s="20">
        <v>7955.92</v>
      </c>
      <c r="E302" s="20">
        <v>1.43</v>
      </c>
      <c r="F302" s="15">
        <v>0</v>
      </c>
      <c r="G302" s="15">
        <v>0</v>
      </c>
      <c r="H302" s="15">
        <v>0</v>
      </c>
      <c r="I302" s="15">
        <v>0</v>
      </c>
      <c r="J302" s="20">
        <f>SUM(D302:I302)</f>
        <v>7957.35</v>
      </c>
      <c r="K302" s="8"/>
      <c r="L302" s="8"/>
    </row>
    <row r="303" spans="1:12" ht="15.75" thickBot="1">
      <c r="A303" s="8"/>
      <c r="B303" s="8"/>
      <c r="C303" s="8" t="s">
        <v>13</v>
      </c>
      <c r="D303" s="29"/>
      <c r="E303" s="29"/>
      <c r="F303" s="28"/>
      <c r="G303" s="28"/>
      <c r="H303" s="28"/>
      <c r="I303" s="28"/>
      <c r="J303" s="34">
        <v>0</v>
      </c>
      <c r="K303" s="8"/>
      <c r="L303" s="8"/>
    </row>
    <row r="304" spans="1:12">
      <c r="A304" s="8"/>
      <c r="B304" s="8"/>
      <c r="C304" s="8"/>
      <c r="D304" s="20"/>
      <c r="E304" s="20"/>
      <c r="F304" s="15"/>
      <c r="G304" s="15"/>
      <c r="H304" s="15"/>
      <c r="I304" s="15"/>
      <c r="J304" s="20"/>
      <c r="K304" s="8"/>
      <c r="L304" s="8"/>
    </row>
    <row r="305" spans="1:12" ht="15.75" thickBot="1">
      <c r="A305" s="8"/>
      <c r="B305" s="8"/>
      <c r="C305" s="8" t="s">
        <v>10</v>
      </c>
      <c r="D305" s="31">
        <f t="shared" ref="D305:I305" si="48">SUM(D302:D303)</f>
        <v>7955.92</v>
      </c>
      <c r="E305" s="31">
        <f t="shared" si="48"/>
        <v>1.43</v>
      </c>
      <c r="F305" s="30">
        <f t="shared" si="48"/>
        <v>0</v>
      </c>
      <c r="G305" s="30">
        <f t="shared" si="48"/>
        <v>0</v>
      </c>
      <c r="H305" s="30">
        <f t="shared" si="48"/>
        <v>0</v>
      </c>
      <c r="I305" s="30">
        <f t="shared" si="48"/>
        <v>0</v>
      </c>
      <c r="J305" s="31">
        <f>SUM(D305:I305)</f>
        <v>7957.35</v>
      </c>
      <c r="K305" s="8"/>
      <c r="L305" s="8"/>
    </row>
    <row r="306" spans="1:12" ht="15.75" thickTop="1">
      <c r="A306" s="8"/>
      <c r="B306" s="8"/>
      <c r="C306" s="8"/>
      <c r="D306" s="20"/>
      <c r="E306" s="20"/>
      <c r="F306" s="15"/>
      <c r="G306" s="15"/>
      <c r="H306" s="15"/>
      <c r="I306" s="15"/>
      <c r="J306" s="20"/>
      <c r="K306" s="8"/>
      <c r="L306" s="8"/>
    </row>
    <row r="307" spans="1:12">
      <c r="A307" s="8"/>
      <c r="B307" s="8"/>
      <c r="C307" s="8"/>
      <c r="D307" s="20"/>
      <c r="E307" s="20"/>
      <c r="F307" s="15"/>
      <c r="G307" s="15"/>
      <c r="H307" s="15"/>
      <c r="I307" s="15"/>
      <c r="J307" s="20"/>
      <c r="K307" s="8"/>
      <c r="L307" s="8"/>
    </row>
    <row r="308" spans="1:12">
      <c r="A308" s="8">
        <v>70</v>
      </c>
      <c r="B308" s="8" t="s">
        <v>65</v>
      </c>
      <c r="C308" s="8" t="s">
        <v>12</v>
      </c>
      <c r="D308" s="20">
        <v>8137.45</v>
      </c>
      <c r="E308" s="20">
        <v>103.88</v>
      </c>
      <c r="F308" s="15">
        <v>36.85</v>
      </c>
      <c r="G308" s="15">
        <v>0</v>
      </c>
      <c r="H308" s="15">
        <v>0</v>
      </c>
      <c r="I308" s="15">
        <v>0</v>
      </c>
      <c r="J308" s="20">
        <f>SUM(D308:I308)</f>
        <v>8278.18</v>
      </c>
      <c r="K308" s="8"/>
      <c r="L308" s="8"/>
    </row>
    <row r="309" spans="1:12" ht="15.75" thickBot="1">
      <c r="A309" s="8"/>
      <c r="B309" s="8"/>
      <c r="C309" s="8" t="s">
        <v>78</v>
      </c>
      <c r="D309" s="29"/>
      <c r="E309" s="29"/>
      <c r="F309" s="28"/>
      <c r="G309" s="28"/>
      <c r="H309" s="28"/>
      <c r="I309" s="28"/>
      <c r="J309" s="29">
        <f>SUM(D309:I309)</f>
        <v>0</v>
      </c>
      <c r="K309" s="8"/>
      <c r="L309" s="8"/>
    </row>
    <row r="310" spans="1:12">
      <c r="A310" s="8"/>
      <c r="B310" s="8"/>
      <c r="C310" s="8"/>
      <c r="D310" s="20"/>
      <c r="E310" s="20"/>
      <c r="F310" s="15"/>
      <c r="G310" s="15"/>
      <c r="H310" s="15"/>
      <c r="I310" s="15"/>
      <c r="J310" s="20"/>
      <c r="K310" s="8"/>
      <c r="L310" s="8"/>
    </row>
    <row r="311" spans="1:12" ht="15.75" thickBot="1">
      <c r="A311" s="8"/>
      <c r="B311" s="8"/>
      <c r="C311" s="8" t="s">
        <v>10</v>
      </c>
      <c r="D311" s="31">
        <f t="shared" ref="D311:I311" si="49">SUM(D308:D310)</f>
        <v>8137.45</v>
      </c>
      <c r="E311" s="31">
        <f t="shared" si="49"/>
        <v>103.88</v>
      </c>
      <c r="F311" s="30">
        <f t="shared" si="49"/>
        <v>36.85</v>
      </c>
      <c r="G311" s="30">
        <f t="shared" si="49"/>
        <v>0</v>
      </c>
      <c r="H311" s="30">
        <f t="shared" si="49"/>
        <v>0</v>
      </c>
      <c r="I311" s="30">
        <f t="shared" si="49"/>
        <v>0</v>
      </c>
      <c r="J311" s="31">
        <f>SUM(D311:I311)</f>
        <v>8278.18</v>
      </c>
      <c r="K311" s="8"/>
      <c r="L311" s="8"/>
    </row>
    <row r="312" spans="1:12" ht="15.75" thickTop="1">
      <c r="A312" s="8"/>
      <c r="B312" s="8"/>
      <c r="C312" s="8"/>
      <c r="D312" s="20"/>
      <c r="E312" s="20"/>
      <c r="F312" s="15"/>
      <c r="G312" s="15"/>
      <c r="H312" s="15"/>
      <c r="I312" s="15"/>
      <c r="J312" s="20"/>
      <c r="K312" s="8"/>
      <c r="L312" s="8"/>
    </row>
    <row r="313" spans="1:12">
      <c r="A313" s="8"/>
      <c r="B313" s="8"/>
      <c r="C313" s="8" t="s">
        <v>66</v>
      </c>
      <c r="D313" s="20">
        <f t="shared" ref="D313:I313" si="50">SUM(D9:D311)/2</f>
        <v>580046.43999999994</v>
      </c>
      <c r="E313" s="20">
        <f t="shared" si="50"/>
        <v>14694.89000000001</v>
      </c>
      <c r="F313" s="15">
        <f t="shared" si="50"/>
        <v>7084.7800000000007</v>
      </c>
      <c r="G313" s="15">
        <f t="shared" si="50"/>
        <v>3118.27</v>
      </c>
      <c r="H313" s="15">
        <f t="shared" si="50"/>
        <v>1011.74</v>
      </c>
      <c r="I313" s="15">
        <f t="shared" si="50"/>
        <v>8.7899999999999991</v>
      </c>
      <c r="J313" s="20">
        <f>SUM(D313:I313)</f>
        <v>605964.91</v>
      </c>
      <c r="K313" s="8"/>
      <c r="L313" s="8"/>
    </row>
    <row r="314" spans="1:12">
      <c r="A314" s="8"/>
      <c r="B314" s="8"/>
      <c r="C314" s="8"/>
      <c r="D314" s="20"/>
      <c r="E314" s="20"/>
      <c r="F314" s="15"/>
      <c r="G314" s="8"/>
      <c r="H314" s="8"/>
      <c r="I314" s="8"/>
      <c r="J314" s="20"/>
      <c r="K314" s="8"/>
      <c r="L314" s="8"/>
    </row>
    <row r="315" spans="1:12">
      <c r="A315" s="8"/>
      <c r="B315" s="8"/>
      <c r="C315" s="8"/>
      <c r="D315" s="20"/>
      <c r="E315" s="20"/>
      <c r="F315" s="8"/>
      <c r="G315" s="8"/>
      <c r="H315" s="8"/>
      <c r="I315" s="8"/>
      <c r="J315" s="20"/>
      <c r="K315" s="8"/>
      <c r="L315" s="8"/>
    </row>
  </sheetData>
  <phoneticPr fontId="0" type="noConversion"/>
  <pageMargins left="0.25" right="0.25" top="0.25" bottom="0.25" header="0.5" footer="0.5"/>
  <pageSetup scale="70" fitToHeight="50" orientation="landscape" r:id="rId1"/>
  <headerFooter alignWithMargins="0"/>
  <rowBreaks count="51" manualBreakCount="51">
    <brk id="7" max="65535" man="1"/>
    <brk id="13" max="16383" man="1"/>
    <brk id="19" max="16383" man="1"/>
    <brk id="25" max="16383" man="1"/>
    <brk id="31" max="16383" man="1"/>
    <brk id="37" max="16383" man="1"/>
    <brk id="44" max="16383" man="1"/>
    <brk id="49" max="65535" man="1"/>
    <brk id="57" max="16383" man="1"/>
    <brk id="65" max="16383" man="1"/>
    <brk id="71" max="16383" man="1"/>
    <brk id="77" max="16383" man="1"/>
    <brk id="85" max="16383" man="1"/>
    <brk id="91" max="16383" man="1"/>
    <brk id="99" max="16383" man="1"/>
    <brk id="104" max="16383" man="1"/>
    <brk id="110" max="16383" man="1"/>
    <brk id="115" max="16383" man="1"/>
    <brk id="123" max="16383" man="1"/>
    <brk id="127" max="9" man="1"/>
    <brk id="133" max="16383" man="1"/>
    <brk id="139" max="16383" man="1"/>
    <brk id="145" max="16383" man="1"/>
    <brk id="153" max="16383" man="1"/>
    <brk id="158" max="9" man="1"/>
    <brk id="163" max="16383" man="1"/>
    <brk id="168" max="16383" man="1"/>
    <brk id="173" max="16383" man="1"/>
    <brk id="178" max="16383" man="1"/>
    <brk id="183" max="16383" man="1"/>
    <brk id="189" max="16383" man="1"/>
    <brk id="196" max="16383" man="1"/>
    <brk id="202" max="16383" man="1"/>
    <brk id="210" max="16383" man="1"/>
    <brk id="216" max="16383" man="1"/>
    <brk id="222" max="16383" man="1"/>
    <brk id="228" max="16383" man="1"/>
    <brk id="234" max="16383" man="1"/>
    <brk id="240" max="16383" man="1"/>
    <brk id="246" max="16383" man="1"/>
    <brk id="251" max="16383" man="1"/>
    <brk id="258" max="16383" man="1"/>
    <brk id="264" max="16383" man="1"/>
    <brk id="270" max="16383" man="1"/>
    <brk id="275" max="16383" man="1"/>
    <brk id="281" max="16383" man="1"/>
    <brk id="288" max="16383" man="1"/>
    <brk id="294" max="16383" man="1"/>
    <brk id="300" max="16383" man="1"/>
    <brk id="306" max="16383" man="1"/>
    <brk id="31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/>
  </sheetPr>
  <dimension ref="A1:L315"/>
  <sheetViews>
    <sheetView showOutlineSymbols="0" defaultGridColor="0" view="pageBreakPreview" topLeftCell="A103" colorId="23" zoomScale="60" zoomScaleNormal="75" workbookViewId="0">
      <selection activeCell="I112" sqref="I112"/>
    </sheetView>
  </sheetViews>
  <sheetFormatPr defaultColWidth="9.6640625" defaultRowHeight="15"/>
  <cols>
    <col min="1" max="1" width="9.6640625" style="10" customWidth="1"/>
    <col min="2" max="2" width="27.44140625" style="10" bestFit="1" customWidth="1"/>
    <col min="3" max="3" width="24.44140625" style="10" bestFit="1" customWidth="1"/>
    <col min="4" max="5" width="12.77734375" style="23" customWidth="1"/>
    <col min="6" max="6" width="12.6640625" style="10" customWidth="1"/>
    <col min="7" max="8" width="11.6640625" style="10" customWidth="1"/>
    <col min="9" max="9" width="9.6640625" style="10" customWidth="1"/>
    <col min="10" max="10" width="14.44140625" style="23" customWidth="1"/>
    <col min="11" max="16384" width="9.6640625" style="10"/>
  </cols>
  <sheetData>
    <row r="1" spans="1:12">
      <c r="A1" s="8"/>
      <c r="B1" s="8"/>
      <c r="C1" s="8"/>
      <c r="D1" s="20"/>
      <c r="E1" s="20"/>
      <c r="F1" s="8"/>
      <c r="G1" s="8"/>
      <c r="H1" s="8"/>
      <c r="I1" s="9"/>
      <c r="J1" s="20"/>
      <c r="K1" s="8"/>
      <c r="L1" s="8"/>
    </row>
    <row r="2" spans="1:12">
      <c r="A2" s="8"/>
      <c r="B2" s="8"/>
      <c r="C2" s="8"/>
      <c r="D2" s="20"/>
      <c r="E2" s="20"/>
      <c r="F2" s="8"/>
      <c r="G2" s="8"/>
      <c r="H2" s="8"/>
      <c r="I2" s="8"/>
      <c r="J2" s="20"/>
      <c r="K2" s="8"/>
      <c r="L2" s="8"/>
    </row>
    <row r="3" spans="1:12">
      <c r="A3" s="8"/>
      <c r="B3" s="8" t="s">
        <v>103</v>
      </c>
      <c r="C3" s="8"/>
      <c r="D3" s="20"/>
      <c r="E3" s="20"/>
      <c r="F3" s="8"/>
      <c r="G3" s="8"/>
      <c r="H3" s="8"/>
      <c r="I3" s="8"/>
      <c r="J3" s="20"/>
      <c r="K3" s="8"/>
      <c r="L3" s="8"/>
    </row>
    <row r="4" spans="1:12" ht="15.75">
      <c r="A4" s="8"/>
      <c r="B4" s="11" t="s">
        <v>1</v>
      </c>
      <c r="C4" s="9"/>
      <c r="D4" s="21"/>
      <c r="E4" s="21"/>
      <c r="F4" s="9"/>
      <c r="G4" s="9"/>
      <c r="H4" s="9"/>
      <c r="I4" s="9"/>
      <c r="J4" s="21"/>
      <c r="K4" s="8"/>
      <c r="L4" s="8"/>
    </row>
    <row r="5" spans="1:12" ht="15.75">
      <c r="A5" s="8"/>
      <c r="B5" s="11" t="s">
        <v>107</v>
      </c>
      <c r="C5" s="9"/>
      <c r="D5" s="21"/>
      <c r="E5" s="21"/>
      <c r="F5" s="9"/>
      <c r="G5" s="9"/>
      <c r="H5" s="9"/>
      <c r="I5" s="9"/>
      <c r="J5" s="21"/>
      <c r="K5" s="8"/>
      <c r="L5" s="8"/>
    </row>
    <row r="6" spans="1:12">
      <c r="A6" s="8"/>
      <c r="B6" s="8"/>
      <c r="C6" s="8"/>
      <c r="D6" s="20"/>
      <c r="E6" s="20"/>
      <c r="F6" s="8"/>
      <c r="G6" s="8"/>
      <c r="H6" s="8"/>
      <c r="I6" s="8"/>
      <c r="J6" s="20"/>
      <c r="K6" s="8"/>
      <c r="L6" s="8"/>
    </row>
    <row r="7" spans="1:12">
      <c r="A7" s="8"/>
      <c r="B7" s="12" t="s">
        <v>3</v>
      </c>
      <c r="C7" s="12" t="s">
        <v>4</v>
      </c>
      <c r="D7" s="37">
        <v>2008</v>
      </c>
      <c r="E7" s="37">
        <v>2007</v>
      </c>
      <c r="F7" s="13">
        <v>2006</v>
      </c>
      <c r="G7" s="13">
        <v>2005</v>
      </c>
      <c r="H7" s="13">
        <v>2004</v>
      </c>
      <c r="I7" s="14">
        <v>2003</v>
      </c>
      <c r="J7" s="22" t="s">
        <v>10</v>
      </c>
      <c r="K7" s="8"/>
      <c r="L7" s="8"/>
    </row>
    <row r="8" spans="1:12">
      <c r="A8" s="8"/>
      <c r="B8" s="8"/>
      <c r="C8" s="8"/>
      <c r="D8" s="20"/>
      <c r="E8" s="20"/>
      <c r="F8" s="8"/>
      <c r="G8" s="8"/>
      <c r="H8" s="8"/>
      <c r="I8" s="8"/>
      <c r="J8" s="20"/>
      <c r="K8" s="8"/>
      <c r="L8" s="8"/>
    </row>
    <row r="9" spans="1:12">
      <c r="A9" s="8">
        <v>21</v>
      </c>
      <c r="B9" s="8" t="s">
        <v>11</v>
      </c>
      <c r="C9" s="8" t="s">
        <v>12</v>
      </c>
      <c r="D9" s="20">
        <v>11367.73</v>
      </c>
      <c r="E9" s="20">
        <v>108.59</v>
      </c>
      <c r="F9" s="15">
        <v>46.91</v>
      </c>
      <c r="G9" s="15"/>
      <c r="H9" s="15"/>
      <c r="I9" s="15"/>
      <c r="J9" s="20">
        <f>SUM(D9:I9)</f>
        <v>11523.23</v>
      </c>
      <c r="K9" s="8"/>
      <c r="L9" s="8"/>
    </row>
    <row r="10" spans="1:12" ht="15.75" thickBot="1">
      <c r="A10" s="8"/>
      <c r="B10" s="8"/>
      <c r="C10" s="8" t="s">
        <v>13</v>
      </c>
      <c r="D10" s="29">
        <v>199.08</v>
      </c>
      <c r="E10" s="29">
        <v>1.8</v>
      </c>
      <c r="F10" s="28">
        <v>0.63</v>
      </c>
      <c r="G10" s="28"/>
      <c r="H10" s="28"/>
      <c r="I10" s="28"/>
      <c r="J10" s="29">
        <f>SUM(D10:I10)</f>
        <v>201.51000000000002</v>
      </c>
      <c r="K10" s="8"/>
      <c r="L10" s="8"/>
    </row>
    <row r="11" spans="1:12">
      <c r="A11" s="8"/>
      <c r="B11" s="8"/>
      <c r="C11" s="8"/>
      <c r="D11" s="20"/>
      <c r="E11" s="20"/>
      <c r="F11" s="15"/>
      <c r="G11" s="15"/>
      <c r="H11" s="15"/>
      <c r="I11" s="15"/>
      <c r="J11" s="20"/>
      <c r="K11" s="8"/>
      <c r="L11" s="8"/>
    </row>
    <row r="12" spans="1:12" ht="15.75" thickBot="1">
      <c r="A12" s="8"/>
      <c r="B12" s="8"/>
      <c r="C12" s="8" t="s">
        <v>10</v>
      </c>
      <c r="D12" s="31">
        <f t="shared" ref="D12:I12" si="0">SUM(D9:D10)</f>
        <v>11566.81</v>
      </c>
      <c r="E12" s="31">
        <f t="shared" si="0"/>
        <v>110.39</v>
      </c>
      <c r="F12" s="30">
        <f t="shared" si="0"/>
        <v>47.54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>SUM(D12:I12)</f>
        <v>11724.74</v>
      </c>
      <c r="K12" s="8"/>
      <c r="L12" s="8"/>
    </row>
    <row r="13" spans="1:12" ht="15.75" thickTop="1">
      <c r="A13" s="8"/>
      <c r="B13" s="8"/>
      <c r="C13" s="8"/>
      <c r="D13" s="20"/>
      <c r="E13" s="20"/>
      <c r="F13" s="15"/>
      <c r="G13" s="8"/>
      <c r="H13" s="8"/>
      <c r="I13" s="8"/>
      <c r="J13" s="20"/>
      <c r="K13" s="8"/>
      <c r="L13" s="8"/>
    </row>
    <row r="14" spans="1:12">
      <c r="A14" s="8"/>
      <c r="B14" s="8"/>
      <c r="C14" s="8"/>
      <c r="D14" s="20"/>
      <c r="E14" s="20"/>
      <c r="F14" s="15"/>
      <c r="G14" s="8"/>
      <c r="H14" s="8"/>
      <c r="I14" s="8"/>
      <c r="J14" s="20"/>
      <c r="K14" s="8"/>
      <c r="L14" s="8"/>
    </row>
    <row r="15" spans="1:12">
      <c r="A15" s="8">
        <v>22</v>
      </c>
      <c r="B15" s="8" t="s">
        <v>15</v>
      </c>
      <c r="C15" s="8" t="s">
        <v>12</v>
      </c>
      <c r="D15" s="20">
        <v>11895.99</v>
      </c>
      <c r="E15" s="20">
        <v>228.22</v>
      </c>
      <c r="F15" s="15">
        <v>178.55</v>
      </c>
      <c r="G15" s="15">
        <v>125.55</v>
      </c>
      <c r="H15" s="15"/>
      <c r="I15" s="15"/>
      <c r="J15" s="20">
        <f>SUM(D15:I15)</f>
        <v>12428.309999999998</v>
      </c>
      <c r="K15" s="8"/>
      <c r="L15" s="8"/>
    </row>
    <row r="16" spans="1:12" ht="15.75" thickBot="1">
      <c r="A16" s="8"/>
      <c r="B16" s="8"/>
      <c r="C16" s="8" t="s">
        <v>13</v>
      </c>
      <c r="D16" s="29">
        <v>493.16</v>
      </c>
      <c r="E16" s="29">
        <v>9.11</v>
      </c>
      <c r="F16" s="28">
        <v>7.37</v>
      </c>
      <c r="G16" s="28">
        <v>0.04</v>
      </c>
      <c r="H16" s="28"/>
      <c r="I16" s="28"/>
      <c r="J16" s="29">
        <f>SUM(D16:I16)</f>
        <v>509.68000000000006</v>
      </c>
      <c r="K16" s="8"/>
      <c r="L16" s="8"/>
    </row>
    <row r="17" spans="1:12">
      <c r="A17" s="8"/>
      <c r="B17" s="8"/>
      <c r="C17" s="8"/>
      <c r="D17" s="20"/>
      <c r="E17" s="20"/>
      <c r="F17" s="15"/>
      <c r="G17" s="15"/>
      <c r="H17" s="15"/>
      <c r="I17" s="15"/>
      <c r="J17" s="20"/>
      <c r="K17" s="8"/>
      <c r="L17" s="8"/>
    </row>
    <row r="18" spans="1:12" ht="15.75" thickBot="1">
      <c r="A18" s="8"/>
      <c r="B18" s="8"/>
      <c r="C18" s="8" t="s">
        <v>10</v>
      </c>
      <c r="D18" s="31">
        <f t="shared" ref="D18:I18" si="1">SUM(D15:D16)</f>
        <v>12389.15</v>
      </c>
      <c r="E18" s="31">
        <f t="shared" si="1"/>
        <v>237.32999999999998</v>
      </c>
      <c r="F18" s="30">
        <f t="shared" si="1"/>
        <v>185.92000000000002</v>
      </c>
      <c r="G18" s="30">
        <f t="shared" si="1"/>
        <v>125.59</v>
      </c>
      <c r="H18" s="30">
        <f t="shared" si="1"/>
        <v>0</v>
      </c>
      <c r="I18" s="30">
        <f t="shared" si="1"/>
        <v>0</v>
      </c>
      <c r="J18" s="31">
        <f>SUM(D18:I18)</f>
        <v>12937.99</v>
      </c>
      <c r="K18" s="8"/>
      <c r="L18" s="8"/>
    </row>
    <row r="19" spans="1:12" ht="15.75" thickTop="1">
      <c r="A19" s="8"/>
      <c r="B19" s="8"/>
      <c r="C19" s="8"/>
      <c r="D19" s="20"/>
      <c r="E19" s="20"/>
      <c r="F19" s="15"/>
      <c r="G19" s="15"/>
      <c r="H19" s="15"/>
      <c r="I19" s="15"/>
      <c r="J19" s="20"/>
      <c r="K19" s="8"/>
      <c r="L19" s="8"/>
    </row>
    <row r="20" spans="1:12">
      <c r="A20" s="8"/>
      <c r="B20" s="8"/>
      <c r="C20" s="8"/>
      <c r="D20" s="20"/>
      <c r="E20" s="20"/>
      <c r="F20" s="15"/>
      <c r="G20" s="15"/>
      <c r="H20" s="15"/>
      <c r="I20" s="15"/>
      <c r="J20" s="20"/>
      <c r="K20" s="8"/>
      <c r="L20" s="8"/>
    </row>
    <row r="21" spans="1:12">
      <c r="A21" s="8">
        <v>23</v>
      </c>
      <c r="B21" s="8" t="s">
        <v>16</v>
      </c>
      <c r="C21" s="8" t="s">
        <v>12</v>
      </c>
      <c r="D21" s="20">
        <v>9980.2199999999993</v>
      </c>
      <c r="E21" s="20">
        <v>953.98</v>
      </c>
      <c r="F21" s="15">
        <v>723.37</v>
      </c>
      <c r="G21" s="15">
        <v>315.89999999999998</v>
      </c>
      <c r="H21" s="15">
        <v>381.36</v>
      </c>
      <c r="I21" s="15"/>
      <c r="J21" s="20">
        <f>SUM(D21:I21)</f>
        <v>12354.83</v>
      </c>
      <c r="K21" s="8"/>
      <c r="L21" s="8"/>
    </row>
    <row r="22" spans="1:12" ht="15.75" thickBot="1">
      <c r="A22" s="8"/>
      <c r="B22" s="8"/>
      <c r="C22" s="8" t="s">
        <v>13</v>
      </c>
      <c r="D22" s="29"/>
      <c r="E22" s="29"/>
      <c r="F22" s="28"/>
      <c r="G22" s="28"/>
      <c r="H22" s="28"/>
      <c r="I22" s="28"/>
      <c r="J22" s="29">
        <f>SUM(D22:I22)</f>
        <v>0</v>
      </c>
      <c r="K22" s="8"/>
      <c r="L22" s="8"/>
    </row>
    <row r="23" spans="1:12">
      <c r="A23" s="8"/>
      <c r="B23" s="8"/>
      <c r="C23" s="8"/>
      <c r="D23" s="20"/>
      <c r="E23" s="20"/>
      <c r="F23" s="15"/>
      <c r="G23" s="15"/>
      <c r="H23" s="15"/>
      <c r="I23" s="15"/>
      <c r="J23" s="20"/>
      <c r="K23" s="8"/>
      <c r="L23" s="8"/>
    </row>
    <row r="24" spans="1:12" ht="15.75" thickBot="1">
      <c r="A24" s="8"/>
      <c r="B24" s="8"/>
      <c r="C24" s="8" t="s">
        <v>10</v>
      </c>
      <c r="D24" s="31">
        <f t="shared" ref="D24:I24" si="2">SUM(D21:D22)</f>
        <v>9980.2199999999993</v>
      </c>
      <c r="E24" s="31">
        <f t="shared" si="2"/>
        <v>953.98</v>
      </c>
      <c r="F24" s="30">
        <f t="shared" si="2"/>
        <v>723.37</v>
      </c>
      <c r="G24" s="30">
        <f t="shared" si="2"/>
        <v>315.89999999999998</v>
      </c>
      <c r="H24" s="30">
        <f t="shared" si="2"/>
        <v>381.36</v>
      </c>
      <c r="I24" s="30">
        <f t="shared" si="2"/>
        <v>0</v>
      </c>
      <c r="J24" s="31">
        <f>SUM(D24:I24)</f>
        <v>12354.83</v>
      </c>
      <c r="K24" s="8"/>
      <c r="L24" s="8"/>
    </row>
    <row r="25" spans="1:12" ht="15.75" thickTop="1">
      <c r="A25" s="8"/>
      <c r="B25" s="8"/>
      <c r="C25" s="8"/>
      <c r="D25" s="20"/>
      <c r="E25" s="20"/>
      <c r="F25" s="15"/>
      <c r="G25" s="15"/>
      <c r="H25" s="15"/>
      <c r="I25" s="15"/>
      <c r="J25" s="20"/>
      <c r="K25" s="8"/>
      <c r="L25" s="8"/>
    </row>
    <row r="26" spans="1:12">
      <c r="A26" s="8"/>
      <c r="B26" s="8"/>
      <c r="C26" s="8"/>
      <c r="D26" s="20"/>
      <c r="E26" s="20"/>
      <c r="F26" s="15"/>
      <c r="G26" s="8"/>
      <c r="H26" s="8"/>
      <c r="I26" s="8"/>
      <c r="J26" s="20"/>
      <c r="K26" s="8"/>
      <c r="L26" s="8"/>
    </row>
    <row r="27" spans="1:12">
      <c r="A27" s="8"/>
      <c r="B27" s="8"/>
      <c r="C27" s="8"/>
      <c r="D27" s="20"/>
      <c r="E27" s="20"/>
      <c r="F27" s="15"/>
      <c r="G27" s="15"/>
      <c r="H27" s="15"/>
      <c r="I27" s="15"/>
      <c r="J27" s="20"/>
      <c r="K27" s="8"/>
      <c r="L27" s="8"/>
    </row>
    <row r="28" spans="1:12" ht="15.75" thickBot="1">
      <c r="A28" s="8">
        <v>24</v>
      </c>
      <c r="B28" s="8" t="s">
        <v>17</v>
      </c>
      <c r="C28" s="8" t="s">
        <v>12</v>
      </c>
      <c r="D28" s="29">
        <v>6660.71</v>
      </c>
      <c r="E28" s="29">
        <v>0</v>
      </c>
      <c r="F28" s="28"/>
      <c r="G28" s="28"/>
      <c r="H28" s="28"/>
      <c r="I28" s="28"/>
      <c r="J28" s="29">
        <f>SUM(D28:I28)</f>
        <v>6660.71</v>
      </c>
      <c r="K28" s="8"/>
      <c r="L28" s="8"/>
    </row>
    <row r="29" spans="1:12">
      <c r="A29" s="8"/>
      <c r="B29" s="8"/>
      <c r="C29" s="8"/>
      <c r="D29" s="20"/>
      <c r="E29" s="20"/>
      <c r="F29" s="15"/>
      <c r="G29" s="15"/>
      <c r="H29" s="15"/>
      <c r="I29" s="15"/>
      <c r="J29" s="20"/>
      <c r="K29" s="8"/>
      <c r="L29" s="8"/>
    </row>
    <row r="30" spans="1:12" ht="15.75" thickBot="1">
      <c r="A30" s="8"/>
      <c r="B30" s="8"/>
      <c r="C30" s="8" t="s">
        <v>10</v>
      </c>
      <c r="D30" s="31">
        <f t="shared" ref="D30:I30" si="3">SUM(D28:D29)</f>
        <v>6660.71</v>
      </c>
      <c r="E30" s="31">
        <f t="shared" si="3"/>
        <v>0</v>
      </c>
      <c r="F30" s="30">
        <f t="shared" si="3"/>
        <v>0</v>
      </c>
      <c r="G30" s="30">
        <f t="shared" si="3"/>
        <v>0</v>
      </c>
      <c r="H30" s="30">
        <f t="shared" si="3"/>
        <v>0</v>
      </c>
      <c r="I30" s="30">
        <f t="shared" si="3"/>
        <v>0</v>
      </c>
      <c r="J30" s="31">
        <f>SUM(D30:I30)</f>
        <v>6660.71</v>
      </c>
      <c r="K30" s="8"/>
      <c r="L30" s="8"/>
    </row>
    <row r="31" spans="1:12" ht="15.75" thickTop="1">
      <c r="A31" s="8"/>
      <c r="B31" s="8"/>
      <c r="C31" s="8"/>
      <c r="D31" s="20"/>
      <c r="E31" s="20"/>
      <c r="F31" s="15"/>
      <c r="G31" s="15"/>
      <c r="H31" s="15"/>
      <c r="I31" s="15"/>
      <c r="J31" s="20"/>
      <c r="K31" s="8"/>
      <c r="L31" s="8"/>
    </row>
    <row r="32" spans="1:12">
      <c r="A32" s="8"/>
      <c r="B32" s="8"/>
      <c r="C32" s="8"/>
      <c r="D32" s="20"/>
      <c r="E32" s="20"/>
      <c r="F32" s="15"/>
      <c r="G32" s="8"/>
      <c r="H32" s="8"/>
      <c r="I32" s="8"/>
      <c r="J32" s="20"/>
      <c r="K32" s="8"/>
      <c r="L32" s="8"/>
    </row>
    <row r="33" spans="1:12">
      <c r="A33" s="8"/>
      <c r="B33" s="8"/>
      <c r="C33" s="8"/>
      <c r="D33" s="20"/>
      <c r="E33" s="20"/>
      <c r="F33" s="15"/>
      <c r="G33" s="15"/>
      <c r="H33" s="15"/>
      <c r="I33" s="15"/>
      <c r="J33" s="20"/>
      <c r="K33" s="8"/>
      <c r="L33" s="8"/>
    </row>
    <row r="34" spans="1:12" ht="15.75" thickBot="1">
      <c r="A34" s="8">
        <v>25</v>
      </c>
      <c r="B34" s="8" t="s">
        <v>18</v>
      </c>
      <c r="C34" s="8" t="s">
        <v>12</v>
      </c>
      <c r="D34" s="29">
        <v>4379.8599999999997</v>
      </c>
      <c r="E34" s="29">
        <v>163.65</v>
      </c>
      <c r="F34" s="28"/>
      <c r="G34" s="28"/>
      <c r="H34" s="28"/>
      <c r="I34" s="28"/>
      <c r="J34" s="29">
        <f>SUM(D34:I34)</f>
        <v>4543.5099999999993</v>
      </c>
      <c r="K34" s="8"/>
      <c r="L34" s="8"/>
    </row>
    <row r="35" spans="1:12">
      <c r="A35" s="8"/>
      <c r="B35" s="8"/>
      <c r="C35" s="8"/>
      <c r="D35" s="20"/>
      <c r="E35" s="20"/>
      <c r="F35" s="15"/>
      <c r="G35" s="15"/>
      <c r="H35" s="15"/>
      <c r="I35" s="15"/>
      <c r="J35" s="20"/>
      <c r="K35" s="8"/>
      <c r="L35" s="8"/>
    </row>
    <row r="36" spans="1:12" ht="15.75" thickBot="1">
      <c r="A36" s="8"/>
      <c r="B36" s="8"/>
      <c r="C36" s="8" t="s">
        <v>10</v>
      </c>
      <c r="D36" s="31">
        <f t="shared" ref="D36:I36" si="4">SUM(D34:D35)</f>
        <v>4379.8599999999997</v>
      </c>
      <c r="E36" s="31">
        <f t="shared" si="4"/>
        <v>163.65</v>
      </c>
      <c r="F36" s="30">
        <f t="shared" si="4"/>
        <v>0</v>
      </c>
      <c r="G36" s="30">
        <f t="shared" si="4"/>
        <v>0</v>
      </c>
      <c r="H36" s="30">
        <f t="shared" si="4"/>
        <v>0</v>
      </c>
      <c r="I36" s="30">
        <f t="shared" si="4"/>
        <v>0</v>
      </c>
      <c r="J36" s="31">
        <f>SUM(D36:I36)</f>
        <v>4543.5099999999993</v>
      </c>
      <c r="K36" s="8"/>
      <c r="L36" s="8"/>
    </row>
    <row r="37" spans="1:12" ht="15.75" thickTop="1">
      <c r="A37" s="8"/>
      <c r="B37" s="8"/>
      <c r="C37" s="8"/>
      <c r="D37" s="20"/>
      <c r="E37" s="20"/>
      <c r="F37" s="15"/>
      <c r="G37" s="8"/>
      <c r="H37" s="8"/>
      <c r="I37" s="8"/>
      <c r="J37" s="20"/>
      <c r="K37" s="8"/>
      <c r="L37" s="8"/>
    </row>
    <row r="38" spans="1:12">
      <c r="A38" s="8"/>
      <c r="B38" s="8"/>
      <c r="C38" s="8"/>
      <c r="D38" s="20"/>
      <c r="E38" s="20"/>
      <c r="F38" s="15"/>
      <c r="G38" s="15"/>
      <c r="H38" s="15"/>
      <c r="I38" s="15"/>
      <c r="J38" s="20"/>
      <c r="K38" s="8"/>
      <c r="L38" s="8"/>
    </row>
    <row r="39" spans="1:12">
      <c r="A39" s="8"/>
      <c r="B39" s="8"/>
      <c r="C39" s="8"/>
      <c r="D39" s="20"/>
      <c r="E39" s="20"/>
      <c r="F39" s="15"/>
      <c r="G39" s="15"/>
      <c r="H39" s="15"/>
      <c r="I39" s="15"/>
      <c r="J39" s="20"/>
      <c r="K39" s="8"/>
      <c r="L39" s="8"/>
    </row>
    <row r="40" spans="1:12">
      <c r="A40" s="8">
        <v>26</v>
      </c>
      <c r="B40" s="8" t="s">
        <v>19</v>
      </c>
      <c r="C40" s="8" t="s">
        <v>12</v>
      </c>
      <c r="D40" s="20">
        <v>7990.42</v>
      </c>
      <c r="E40" s="20">
        <v>0</v>
      </c>
      <c r="F40" s="15"/>
      <c r="G40" s="15"/>
      <c r="H40" s="15"/>
      <c r="I40" s="15"/>
      <c r="J40" s="20">
        <f>SUM(D40:I40)</f>
        <v>7990.42</v>
      </c>
      <c r="K40" s="8"/>
      <c r="L40" s="8"/>
    </row>
    <row r="41" spans="1:12" ht="15.75" thickBot="1">
      <c r="A41" s="8"/>
      <c r="B41" s="8"/>
      <c r="C41" s="8" t="s">
        <v>13</v>
      </c>
      <c r="D41" s="29">
        <v>115.78</v>
      </c>
      <c r="E41" s="29"/>
      <c r="F41" s="28"/>
      <c r="G41" s="28"/>
      <c r="H41" s="28"/>
      <c r="I41" s="28"/>
      <c r="J41" s="29">
        <f>SUM(D41:I41)</f>
        <v>115.78</v>
      </c>
      <c r="K41" s="8"/>
      <c r="L41" s="8"/>
    </row>
    <row r="42" spans="1:12">
      <c r="A42" s="8"/>
      <c r="B42" s="8"/>
      <c r="C42" s="8"/>
      <c r="D42" s="20"/>
      <c r="E42" s="20"/>
      <c r="F42" s="15"/>
      <c r="G42" s="15"/>
      <c r="H42" s="15"/>
      <c r="I42" s="15"/>
      <c r="J42" s="20"/>
      <c r="K42" s="8"/>
      <c r="L42" s="8"/>
    </row>
    <row r="43" spans="1:12" ht="15.75" thickBot="1">
      <c r="A43" s="8"/>
      <c r="B43" s="8"/>
      <c r="C43" s="8" t="s">
        <v>10</v>
      </c>
      <c r="D43" s="31">
        <f t="shared" ref="D43:I43" si="5">SUM(D40:D41)</f>
        <v>8106.2</v>
      </c>
      <c r="E43" s="31">
        <f t="shared" si="5"/>
        <v>0</v>
      </c>
      <c r="F43" s="30">
        <f t="shared" si="5"/>
        <v>0</v>
      </c>
      <c r="G43" s="30">
        <f t="shared" si="5"/>
        <v>0</v>
      </c>
      <c r="H43" s="30">
        <f t="shared" si="5"/>
        <v>0</v>
      </c>
      <c r="I43" s="30">
        <f t="shared" si="5"/>
        <v>0</v>
      </c>
      <c r="J43" s="31">
        <f>SUM(D43:I43)</f>
        <v>8106.2</v>
      </c>
      <c r="K43" s="8"/>
      <c r="L43" s="8"/>
    </row>
    <row r="44" spans="1:12" ht="15.75" thickTop="1">
      <c r="A44" s="8"/>
      <c r="B44" s="8"/>
      <c r="C44" s="8"/>
      <c r="D44" s="20"/>
      <c r="E44" s="20"/>
      <c r="F44" s="15"/>
      <c r="G44" s="15"/>
      <c r="H44" s="15"/>
      <c r="I44" s="15"/>
      <c r="J44" s="20"/>
      <c r="K44" s="8"/>
      <c r="L44" s="8"/>
    </row>
    <row r="45" spans="1:12">
      <c r="A45" s="8"/>
      <c r="B45" s="8"/>
      <c r="C45" s="8"/>
      <c r="D45" s="20"/>
      <c r="E45" s="20"/>
      <c r="F45" s="15"/>
      <c r="G45" s="15"/>
      <c r="H45" s="15"/>
      <c r="I45" s="15"/>
      <c r="J45" s="20"/>
      <c r="K45" s="8"/>
      <c r="L45" s="8"/>
    </row>
    <row r="46" spans="1:12" ht="15.75" thickBot="1">
      <c r="A46" s="8">
        <v>27</v>
      </c>
      <c r="B46" s="8" t="s">
        <v>20</v>
      </c>
      <c r="C46" s="8" t="s">
        <v>12</v>
      </c>
      <c r="D46" s="29">
        <v>12883.12</v>
      </c>
      <c r="E46" s="29">
        <v>142.6</v>
      </c>
      <c r="F46" s="28">
        <v>62.04</v>
      </c>
      <c r="G46" s="28"/>
      <c r="H46" s="28"/>
      <c r="I46" s="28"/>
      <c r="J46" s="29">
        <f>SUM(D46:I46)</f>
        <v>13087.760000000002</v>
      </c>
      <c r="K46" s="8"/>
      <c r="L46" s="8"/>
    </row>
    <row r="47" spans="1:12">
      <c r="A47" s="8"/>
      <c r="B47" s="8"/>
      <c r="C47" s="8"/>
      <c r="D47" s="20"/>
      <c r="E47" s="20"/>
      <c r="F47" s="15"/>
      <c r="G47" s="15"/>
      <c r="H47" s="15"/>
      <c r="I47" s="15"/>
      <c r="J47" s="20"/>
      <c r="K47" s="8"/>
      <c r="L47" s="8"/>
    </row>
    <row r="48" spans="1:12" ht="15.75" thickBot="1">
      <c r="A48" s="8"/>
      <c r="B48" s="8"/>
      <c r="C48" s="8" t="s">
        <v>10</v>
      </c>
      <c r="D48" s="31">
        <f t="shared" ref="D48:I48" si="6">SUM(D46:D47)</f>
        <v>12883.12</v>
      </c>
      <c r="E48" s="31">
        <f t="shared" si="6"/>
        <v>142.6</v>
      </c>
      <c r="F48" s="30">
        <f t="shared" si="6"/>
        <v>62.04</v>
      </c>
      <c r="G48" s="30">
        <f t="shared" si="6"/>
        <v>0</v>
      </c>
      <c r="H48" s="30">
        <f t="shared" si="6"/>
        <v>0</v>
      </c>
      <c r="I48" s="30">
        <f t="shared" si="6"/>
        <v>0</v>
      </c>
      <c r="J48" s="31">
        <f>SUM(D48:I48)</f>
        <v>13087.760000000002</v>
      </c>
      <c r="K48" s="8"/>
      <c r="L48" s="8"/>
    </row>
    <row r="49" spans="1:12" ht="15.75" thickTop="1">
      <c r="A49" s="8"/>
      <c r="B49" s="8"/>
      <c r="C49" s="8"/>
      <c r="D49" s="20"/>
      <c r="E49" s="20"/>
      <c r="F49" s="15"/>
      <c r="G49" s="8"/>
      <c r="H49" s="8"/>
      <c r="I49" s="8"/>
      <c r="J49" s="20"/>
      <c r="K49" s="8"/>
      <c r="L49" s="8"/>
    </row>
    <row r="50" spans="1:12">
      <c r="A50" s="8"/>
      <c r="B50" s="8"/>
      <c r="C50" s="8"/>
      <c r="D50" s="20"/>
      <c r="E50" s="20"/>
      <c r="F50" s="15"/>
      <c r="G50" s="8"/>
      <c r="H50" s="8"/>
      <c r="I50" s="8"/>
      <c r="J50" s="20"/>
      <c r="K50" s="8"/>
      <c r="L50" s="8"/>
    </row>
    <row r="51" spans="1:12">
      <c r="A51" s="8"/>
      <c r="B51" s="8"/>
      <c r="C51" s="8"/>
      <c r="D51" s="20"/>
      <c r="E51" s="20"/>
      <c r="F51" s="15"/>
      <c r="G51" s="15"/>
      <c r="H51" s="15"/>
      <c r="I51" s="15"/>
      <c r="J51" s="20"/>
      <c r="K51" s="8"/>
      <c r="L51" s="8"/>
    </row>
    <row r="52" spans="1:12">
      <c r="A52" s="8"/>
      <c r="B52" s="8"/>
      <c r="C52" s="8"/>
      <c r="D52" s="20"/>
      <c r="E52" s="20"/>
      <c r="F52" s="15"/>
      <c r="G52" s="15"/>
      <c r="H52" s="15"/>
      <c r="I52" s="15"/>
      <c r="J52" s="20"/>
      <c r="K52" s="8"/>
      <c r="L52" s="8"/>
    </row>
    <row r="53" spans="1:12">
      <c r="A53" s="8">
        <v>28</v>
      </c>
      <c r="B53" s="8" t="s">
        <v>21</v>
      </c>
      <c r="C53" s="8" t="s">
        <v>12</v>
      </c>
      <c r="D53" s="20">
        <v>7219.82</v>
      </c>
      <c r="E53" s="20">
        <v>60.33</v>
      </c>
      <c r="F53" s="15">
        <v>56.58</v>
      </c>
      <c r="G53" s="15">
        <v>54.08</v>
      </c>
      <c r="H53" s="15">
        <v>53.08</v>
      </c>
      <c r="I53" s="15"/>
      <c r="J53" s="20">
        <f>SUM(D53:I53)</f>
        <v>7443.8899999999994</v>
      </c>
      <c r="K53" s="8"/>
      <c r="L53" s="8"/>
    </row>
    <row r="54" spans="1:12" ht="15.75" thickBot="1">
      <c r="A54" s="8"/>
      <c r="B54" s="8"/>
      <c r="C54" s="8" t="s">
        <v>13</v>
      </c>
      <c r="D54" s="29"/>
      <c r="E54" s="29"/>
      <c r="F54" s="28">
        <v>1.6</v>
      </c>
      <c r="G54" s="28">
        <v>1.68</v>
      </c>
      <c r="H54" s="28">
        <v>1.62</v>
      </c>
      <c r="I54" s="28"/>
      <c r="J54" s="29">
        <f>SUM(D54:I54)</f>
        <v>4.9000000000000004</v>
      </c>
      <c r="K54" s="8"/>
      <c r="L54" s="8"/>
    </row>
    <row r="55" spans="1:12">
      <c r="A55" s="8"/>
      <c r="B55" s="8"/>
      <c r="C55" s="8"/>
      <c r="D55" s="20"/>
      <c r="E55" s="20"/>
      <c r="F55" s="15"/>
      <c r="G55" s="15"/>
      <c r="H55" s="15"/>
      <c r="I55" s="15"/>
      <c r="J55" s="20"/>
      <c r="K55" s="8"/>
      <c r="L55" s="8"/>
    </row>
    <row r="56" spans="1:12" ht="15.75" thickBot="1">
      <c r="A56" s="8"/>
      <c r="B56" s="8"/>
      <c r="C56" s="8" t="s">
        <v>10</v>
      </c>
      <c r="D56" s="31">
        <f t="shared" ref="D56:I56" si="7">SUM(D53:D54)</f>
        <v>7219.82</v>
      </c>
      <c r="E56" s="31">
        <f t="shared" si="7"/>
        <v>60.33</v>
      </c>
      <c r="F56" s="30">
        <f t="shared" si="7"/>
        <v>58.18</v>
      </c>
      <c r="G56" s="30">
        <f t="shared" si="7"/>
        <v>55.76</v>
      </c>
      <c r="H56" s="30">
        <f t="shared" si="7"/>
        <v>54.699999999999996</v>
      </c>
      <c r="I56" s="30">
        <f t="shared" si="7"/>
        <v>0</v>
      </c>
      <c r="J56" s="31">
        <f>SUM(D56:I56)</f>
        <v>7448.79</v>
      </c>
      <c r="K56" s="8"/>
      <c r="L56" s="8"/>
    </row>
    <row r="57" spans="1:12" ht="15.75" thickTop="1">
      <c r="A57" s="8"/>
      <c r="B57" s="8"/>
      <c r="C57" s="8"/>
      <c r="D57" s="20"/>
      <c r="E57" s="20"/>
      <c r="F57" s="15"/>
      <c r="G57" s="15"/>
      <c r="H57" s="15"/>
      <c r="I57" s="15"/>
      <c r="J57" s="20"/>
      <c r="K57" s="8"/>
      <c r="L57" s="8"/>
    </row>
    <row r="58" spans="1:12">
      <c r="A58" s="8"/>
      <c r="B58" s="8"/>
      <c r="C58" s="8"/>
      <c r="D58" s="20"/>
      <c r="E58" s="20"/>
      <c r="F58" s="15"/>
      <c r="G58" s="15"/>
      <c r="H58" s="15"/>
      <c r="I58" s="15"/>
      <c r="J58" s="20"/>
      <c r="K58" s="8"/>
      <c r="L58" s="8"/>
    </row>
    <row r="59" spans="1:12">
      <c r="A59" s="8">
        <v>29</v>
      </c>
      <c r="B59" s="8" t="s">
        <v>22</v>
      </c>
      <c r="C59" s="8" t="s">
        <v>12</v>
      </c>
      <c r="D59" s="20">
        <v>16752.82</v>
      </c>
      <c r="E59" s="20">
        <v>0</v>
      </c>
      <c r="F59" s="15"/>
      <c r="G59" s="15"/>
      <c r="H59" s="15"/>
      <c r="I59" s="15"/>
      <c r="J59" s="20">
        <f>SUM(D59:I59)</f>
        <v>16752.82</v>
      </c>
      <c r="K59" s="8"/>
      <c r="L59" s="8"/>
    </row>
    <row r="60" spans="1:12">
      <c r="A60" s="8"/>
      <c r="B60" s="8"/>
      <c r="C60" s="8" t="s">
        <v>35</v>
      </c>
      <c r="D60" s="20">
        <v>926.63</v>
      </c>
      <c r="E60" s="20"/>
      <c r="F60" s="15"/>
      <c r="G60" s="15"/>
      <c r="H60" s="15"/>
      <c r="I60" s="15"/>
      <c r="J60" s="20">
        <f>SUM(D60:I60)</f>
        <v>926.63</v>
      </c>
      <c r="K60" s="8"/>
      <c r="L60" s="8"/>
    </row>
    <row r="61" spans="1:12">
      <c r="A61" s="8"/>
      <c r="B61" s="8"/>
      <c r="C61" s="8" t="s">
        <v>13</v>
      </c>
      <c r="D61" s="20">
        <v>685.7</v>
      </c>
      <c r="E61" s="20"/>
      <c r="F61" s="15"/>
      <c r="G61" s="15"/>
      <c r="H61" s="15"/>
      <c r="I61" s="15"/>
      <c r="J61" s="20">
        <f>SUM(D61:I61)</f>
        <v>685.7</v>
      </c>
      <c r="K61" s="8"/>
      <c r="L61" s="8"/>
    </row>
    <row r="62" spans="1:12" ht="15.75" thickBot="1">
      <c r="A62" s="8"/>
      <c r="B62" s="8"/>
      <c r="C62" s="8" t="s">
        <v>78</v>
      </c>
      <c r="D62" s="29">
        <v>1324.97</v>
      </c>
      <c r="E62" s="29"/>
      <c r="F62" s="28"/>
      <c r="G62" s="28"/>
      <c r="H62" s="28"/>
      <c r="I62" s="28"/>
      <c r="J62" s="29">
        <f>SUM(D62:I62)</f>
        <v>1324.97</v>
      </c>
      <c r="K62" s="8"/>
      <c r="L62" s="8"/>
    </row>
    <row r="63" spans="1:12">
      <c r="A63" s="8"/>
      <c r="B63" s="8"/>
      <c r="C63" s="8"/>
      <c r="D63" s="20"/>
      <c r="E63" s="20"/>
      <c r="F63" s="15"/>
      <c r="G63" s="15"/>
      <c r="H63" s="15"/>
      <c r="I63" s="15"/>
      <c r="J63" s="20"/>
      <c r="K63" s="8"/>
      <c r="L63" s="8"/>
    </row>
    <row r="64" spans="1:12" ht="15.75" thickBot="1">
      <c r="A64" s="8"/>
      <c r="B64" s="8"/>
      <c r="C64" s="8" t="s">
        <v>10</v>
      </c>
      <c r="D64" s="31">
        <f t="shared" ref="D64:I64" si="8">SUM(D59:D62)</f>
        <v>19690.120000000003</v>
      </c>
      <c r="E64" s="31">
        <f t="shared" si="8"/>
        <v>0</v>
      </c>
      <c r="F64" s="30">
        <f t="shared" si="8"/>
        <v>0</v>
      </c>
      <c r="G64" s="30">
        <f t="shared" si="8"/>
        <v>0</v>
      </c>
      <c r="H64" s="30">
        <f t="shared" si="8"/>
        <v>0</v>
      </c>
      <c r="I64" s="30">
        <f t="shared" si="8"/>
        <v>0</v>
      </c>
      <c r="J64" s="31">
        <f>SUM(D64:I64)</f>
        <v>19690.120000000003</v>
      </c>
      <c r="K64" s="8"/>
      <c r="L64" s="8"/>
    </row>
    <row r="65" spans="1:12" ht="15.75" thickTop="1">
      <c r="A65" s="8"/>
      <c r="B65" s="8"/>
      <c r="C65" s="8"/>
      <c r="D65" s="20"/>
      <c r="E65" s="20"/>
      <c r="F65" s="15"/>
      <c r="G65" s="15"/>
      <c r="H65" s="15"/>
      <c r="I65" s="15"/>
      <c r="J65" s="20"/>
      <c r="K65" s="8"/>
      <c r="L65" s="8"/>
    </row>
    <row r="66" spans="1:12">
      <c r="A66" s="8"/>
      <c r="B66" s="8"/>
      <c r="C66" s="8"/>
      <c r="D66" s="20"/>
      <c r="E66" s="20"/>
      <c r="F66" s="15"/>
      <c r="G66" s="15"/>
      <c r="H66" s="15"/>
      <c r="I66" s="15"/>
      <c r="J66" s="20"/>
      <c r="K66" s="8"/>
      <c r="L66" s="8"/>
    </row>
    <row r="67" spans="1:12">
      <c r="A67" s="8">
        <v>30</v>
      </c>
      <c r="B67" s="8" t="s">
        <v>23</v>
      </c>
      <c r="C67" s="8" t="s">
        <v>12</v>
      </c>
      <c r="D67" s="20">
        <v>5317.83</v>
      </c>
      <c r="E67" s="20">
        <v>13.96</v>
      </c>
      <c r="F67" s="15"/>
      <c r="G67" s="15"/>
      <c r="H67" s="15"/>
      <c r="I67" s="15"/>
      <c r="J67" s="20">
        <f>SUM(D67:I67)</f>
        <v>5331.79</v>
      </c>
      <c r="K67" s="8"/>
      <c r="L67" s="8"/>
    </row>
    <row r="68" spans="1:12" ht="15.75" thickBot="1">
      <c r="A68" s="8"/>
      <c r="B68" s="8"/>
      <c r="C68" s="8" t="s">
        <v>13</v>
      </c>
      <c r="D68" s="29"/>
      <c r="E68" s="29"/>
      <c r="F68" s="28"/>
      <c r="G68" s="28"/>
      <c r="H68" s="28"/>
      <c r="I68" s="28"/>
      <c r="J68" s="29"/>
      <c r="K68" s="8"/>
      <c r="L68" s="8"/>
    </row>
    <row r="69" spans="1:12">
      <c r="A69" s="8"/>
      <c r="B69" s="8"/>
      <c r="C69" s="8"/>
      <c r="D69" s="20"/>
      <c r="E69" s="20"/>
      <c r="F69" s="15"/>
      <c r="G69" s="15"/>
      <c r="H69" s="15"/>
      <c r="I69" s="15"/>
      <c r="J69" s="20"/>
      <c r="K69" s="8"/>
      <c r="L69" s="8"/>
    </row>
    <row r="70" spans="1:12" ht="15.75" thickBot="1">
      <c r="A70" s="8"/>
      <c r="B70" s="8"/>
      <c r="C70" s="15" t="s">
        <v>10</v>
      </c>
      <c r="D70" s="31">
        <f t="shared" ref="D70:I70" si="9">SUM(D67:D68)</f>
        <v>5317.83</v>
      </c>
      <c r="E70" s="31">
        <f t="shared" si="9"/>
        <v>13.96</v>
      </c>
      <c r="F70" s="30">
        <f t="shared" si="9"/>
        <v>0</v>
      </c>
      <c r="G70" s="30">
        <f t="shared" si="9"/>
        <v>0</v>
      </c>
      <c r="H70" s="30">
        <f t="shared" si="9"/>
        <v>0</v>
      </c>
      <c r="I70" s="30">
        <f t="shared" si="9"/>
        <v>0</v>
      </c>
      <c r="J70" s="31">
        <f>SUM(D70:I70)</f>
        <v>5331.79</v>
      </c>
      <c r="K70" s="8"/>
      <c r="L70" s="8"/>
    </row>
    <row r="71" spans="1:12" ht="15.75" thickTop="1">
      <c r="A71" s="8"/>
      <c r="B71" s="8"/>
      <c r="C71" s="8"/>
      <c r="D71" s="20"/>
      <c r="E71" s="20"/>
      <c r="F71" s="15"/>
      <c r="G71" s="15"/>
      <c r="H71" s="15"/>
      <c r="I71" s="15"/>
      <c r="J71" s="20"/>
      <c r="K71" s="8"/>
      <c r="L71" s="8"/>
    </row>
    <row r="72" spans="1:12">
      <c r="A72" s="8"/>
      <c r="B72" s="8"/>
      <c r="C72" s="8"/>
      <c r="D72" s="20"/>
      <c r="E72" s="20"/>
      <c r="F72" s="15"/>
      <c r="G72" s="15"/>
      <c r="H72" s="15"/>
      <c r="I72" s="15"/>
      <c r="J72" s="20"/>
      <c r="K72" s="8"/>
      <c r="L72" s="8"/>
    </row>
    <row r="73" spans="1:12">
      <c r="A73" s="8">
        <v>31</v>
      </c>
      <c r="B73" s="8" t="s">
        <v>24</v>
      </c>
      <c r="C73" s="8" t="s">
        <v>12</v>
      </c>
      <c r="D73" s="20">
        <v>2669.16</v>
      </c>
      <c r="E73" s="20">
        <v>41.96</v>
      </c>
      <c r="F73" s="15">
        <v>40.43</v>
      </c>
      <c r="G73" s="15"/>
      <c r="H73" s="15"/>
      <c r="I73" s="15"/>
      <c r="J73" s="20">
        <f>SUM(D73:I73)</f>
        <v>2751.5499999999997</v>
      </c>
      <c r="K73" s="8"/>
      <c r="L73" s="8"/>
    </row>
    <row r="74" spans="1:12" ht="15.75" thickBot="1">
      <c r="A74" s="8"/>
      <c r="B74" s="8"/>
      <c r="C74" s="8" t="s">
        <v>13</v>
      </c>
      <c r="D74" s="29">
        <v>91.05</v>
      </c>
      <c r="E74" s="29">
        <v>1.55</v>
      </c>
      <c r="F74" s="28">
        <v>2.15</v>
      </c>
      <c r="G74" s="28"/>
      <c r="H74" s="28"/>
      <c r="I74" s="28"/>
      <c r="J74" s="29">
        <f>SUM(D74:I74)</f>
        <v>94.75</v>
      </c>
      <c r="K74" s="8"/>
      <c r="L74" s="8"/>
    </row>
    <row r="75" spans="1:12">
      <c r="A75" s="8"/>
      <c r="B75" s="8"/>
      <c r="C75" s="8"/>
      <c r="D75" s="20"/>
      <c r="E75" s="20"/>
      <c r="F75" s="15"/>
      <c r="G75" s="15"/>
      <c r="H75" s="15"/>
      <c r="I75" s="15"/>
      <c r="J75" s="20"/>
      <c r="K75" s="8"/>
      <c r="L75" s="8"/>
    </row>
    <row r="76" spans="1:12" ht="15.75" thickBot="1">
      <c r="A76" s="8"/>
      <c r="B76" s="8"/>
      <c r="C76" s="8" t="s">
        <v>10</v>
      </c>
      <c r="D76" s="31">
        <f t="shared" ref="D76:I76" si="10">SUM(D73:D74)</f>
        <v>2760.21</v>
      </c>
      <c r="E76" s="31">
        <f t="shared" si="10"/>
        <v>43.51</v>
      </c>
      <c r="F76" s="30">
        <f t="shared" si="10"/>
        <v>42.58</v>
      </c>
      <c r="G76" s="30">
        <f t="shared" si="10"/>
        <v>0</v>
      </c>
      <c r="H76" s="30">
        <f t="shared" si="10"/>
        <v>0</v>
      </c>
      <c r="I76" s="30">
        <f t="shared" si="10"/>
        <v>0</v>
      </c>
      <c r="J76" s="31">
        <f>SUM(D76:I76)</f>
        <v>2846.3</v>
      </c>
      <c r="K76" s="8"/>
      <c r="L76" s="8"/>
    </row>
    <row r="77" spans="1:12" ht="15.75" thickTop="1">
      <c r="A77" s="8"/>
      <c r="B77" s="8"/>
      <c r="C77" s="8"/>
      <c r="D77" s="20"/>
      <c r="E77" s="20"/>
      <c r="F77" s="15"/>
      <c r="G77" s="15"/>
      <c r="H77" s="15"/>
      <c r="I77" s="15"/>
      <c r="J77" s="20"/>
      <c r="K77" s="8"/>
      <c r="L77" s="8"/>
    </row>
    <row r="78" spans="1:12">
      <c r="A78" s="8"/>
      <c r="B78" s="8"/>
      <c r="C78" s="8"/>
      <c r="D78" s="20"/>
      <c r="E78" s="20"/>
      <c r="F78" s="15"/>
      <c r="G78" s="15"/>
      <c r="H78" s="15"/>
      <c r="I78" s="15"/>
      <c r="J78" s="20"/>
      <c r="K78" s="8"/>
      <c r="L78" s="8"/>
    </row>
    <row r="79" spans="1:12">
      <c r="A79" s="8">
        <v>32</v>
      </c>
      <c r="B79" s="8" t="s">
        <v>25</v>
      </c>
      <c r="C79" s="8" t="s">
        <v>12</v>
      </c>
      <c r="D79" s="20">
        <v>18620.689999999999</v>
      </c>
      <c r="E79" s="20">
        <v>962.19</v>
      </c>
      <c r="F79" s="15">
        <v>90.79</v>
      </c>
      <c r="G79" s="15">
        <v>62.54</v>
      </c>
      <c r="H79" s="15">
        <v>61.99</v>
      </c>
      <c r="I79" s="15"/>
      <c r="J79" s="20">
        <f>SUM(D79:I79)</f>
        <v>19798.2</v>
      </c>
      <c r="K79" s="8"/>
      <c r="L79" s="8"/>
    </row>
    <row r="80" spans="1:12">
      <c r="A80" s="8"/>
      <c r="B80" s="8"/>
      <c r="C80" s="8" t="s">
        <v>13</v>
      </c>
      <c r="D80" s="20">
        <v>317.35000000000002</v>
      </c>
      <c r="E80" s="20">
        <v>15.94</v>
      </c>
      <c r="F80" s="15">
        <v>1.36</v>
      </c>
      <c r="G80" s="15">
        <v>1.38</v>
      </c>
      <c r="H80" s="15">
        <v>1.2</v>
      </c>
      <c r="I80" s="15"/>
      <c r="J80" s="20">
        <f>SUM(D80:I80)</f>
        <v>337.23</v>
      </c>
      <c r="K80" s="8"/>
      <c r="L80" s="8"/>
    </row>
    <row r="81" spans="1:12">
      <c r="A81" s="8"/>
      <c r="B81" s="8"/>
      <c r="C81" s="8" t="s">
        <v>73</v>
      </c>
      <c r="D81" s="20"/>
      <c r="E81" s="20"/>
      <c r="F81" s="26"/>
      <c r="G81" s="8"/>
      <c r="H81" s="26"/>
      <c r="I81" s="8"/>
      <c r="J81" s="20">
        <f>SUM(D81:I81)</f>
        <v>0</v>
      </c>
      <c r="K81" s="8"/>
      <c r="L81" s="8"/>
    </row>
    <row r="82" spans="1:12" ht="15.75" thickBot="1">
      <c r="A82" s="8"/>
      <c r="B82" s="8"/>
      <c r="C82" s="8" t="s">
        <v>78</v>
      </c>
      <c r="D82" s="29"/>
      <c r="E82" s="29"/>
      <c r="F82" s="33"/>
      <c r="G82" s="27"/>
      <c r="H82" s="27"/>
      <c r="I82" s="27"/>
      <c r="J82" s="29">
        <f>SUM(D82:I82)</f>
        <v>0</v>
      </c>
      <c r="K82" s="8"/>
      <c r="L82" s="8"/>
    </row>
    <row r="83" spans="1:12">
      <c r="A83" s="8"/>
      <c r="B83" s="8"/>
      <c r="C83" s="8"/>
      <c r="D83" s="20"/>
      <c r="E83" s="20"/>
      <c r="F83" s="15"/>
      <c r="G83" s="8"/>
      <c r="H83" s="8"/>
      <c r="I83" s="8"/>
      <c r="J83" s="20"/>
      <c r="K83" s="8"/>
      <c r="L83" s="8"/>
    </row>
    <row r="84" spans="1:12" ht="15.75" thickBot="1">
      <c r="A84" s="8"/>
      <c r="B84" s="8"/>
      <c r="C84" s="8" t="s">
        <v>10</v>
      </c>
      <c r="D84" s="31">
        <f t="shared" ref="D84:I84" si="11">SUM(D79:D82)</f>
        <v>18938.039999999997</v>
      </c>
      <c r="E84" s="31">
        <f t="shared" si="11"/>
        <v>978.13000000000011</v>
      </c>
      <c r="F84" s="30">
        <f t="shared" si="11"/>
        <v>92.15</v>
      </c>
      <c r="G84" s="30">
        <f t="shared" si="11"/>
        <v>63.92</v>
      </c>
      <c r="H84" s="30">
        <f t="shared" si="11"/>
        <v>63.190000000000005</v>
      </c>
      <c r="I84" s="30">
        <f t="shared" si="11"/>
        <v>0</v>
      </c>
      <c r="J84" s="31">
        <f>SUM(D84:I84)</f>
        <v>20135.429999999997</v>
      </c>
      <c r="K84" s="8"/>
      <c r="L84" s="8"/>
    </row>
    <row r="85" spans="1:12" ht="15.75" thickTop="1">
      <c r="A85" s="8"/>
      <c r="B85" s="8"/>
      <c r="C85" s="8"/>
      <c r="D85" s="20"/>
      <c r="E85" s="20"/>
      <c r="F85" s="15"/>
      <c r="G85" s="15"/>
      <c r="H85" s="15"/>
      <c r="I85" s="15"/>
      <c r="J85" s="20"/>
      <c r="K85" s="8"/>
      <c r="L85" s="8"/>
    </row>
    <row r="86" spans="1:12">
      <c r="A86" s="8"/>
      <c r="B86" s="8"/>
      <c r="C86" s="8"/>
      <c r="D86" s="20"/>
      <c r="E86" s="20"/>
      <c r="F86" s="15"/>
      <c r="G86" s="15"/>
      <c r="H86" s="15"/>
      <c r="I86" s="15"/>
      <c r="J86" s="20"/>
      <c r="K86" s="8"/>
      <c r="L86" s="8"/>
    </row>
    <row r="87" spans="1:12">
      <c r="A87" s="8">
        <v>33</v>
      </c>
      <c r="B87" s="8" t="s">
        <v>26</v>
      </c>
      <c r="C87" s="8" t="s">
        <v>12</v>
      </c>
      <c r="D87" s="20">
        <v>9036.67</v>
      </c>
      <c r="E87" s="20">
        <v>108.92</v>
      </c>
      <c r="F87" s="15">
        <v>9.1</v>
      </c>
      <c r="G87" s="15"/>
      <c r="H87" s="15"/>
      <c r="I87" s="15"/>
      <c r="J87" s="20">
        <f>SUM(D87:I87)</f>
        <v>9154.69</v>
      </c>
      <c r="K87" s="8"/>
      <c r="L87" s="8"/>
    </row>
    <row r="88" spans="1:12" ht="15.75" thickBot="1">
      <c r="A88" s="8"/>
      <c r="B88" s="8"/>
      <c r="C88" s="8" t="s">
        <v>13</v>
      </c>
      <c r="D88" s="29">
        <v>137.03</v>
      </c>
      <c r="E88" s="29">
        <v>2.2200000000000002</v>
      </c>
      <c r="F88" s="28">
        <v>0.22</v>
      </c>
      <c r="G88" s="28"/>
      <c r="H88" s="28"/>
      <c r="I88" s="28"/>
      <c r="J88" s="29">
        <f>SUM(D88:I88)</f>
        <v>139.47</v>
      </c>
      <c r="K88" s="8"/>
      <c r="L88" s="8"/>
    </row>
    <row r="89" spans="1:12">
      <c r="A89" s="8"/>
      <c r="B89" s="8"/>
      <c r="C89" s="8"/>
      <c r="D89" s="20"/>
      <c r="E89" s="20"/>
      <c r="F89" s="15"/>
      <c r="G89" s="15"/>
      <c r="H89" s="15"/>
      <c r="I89" s="15"/>
      <c r="J89" s="20"/>
      <c r="K89" s="8"/>
      <c r="L89" s="8"/>
    </row>
    <row r="90" spans="1:12" ht="15.75" thickBot="1">
      <c r="A90" s="8"/>
      <c r="B90" s="8"/>
      <c r="C90" s="8" t="s">
        <v>10</v>
      </c>
      <c r="D90" s="31">
        <f t="shared" ref="D90:I90" si="12">SUM(D87:D88)</f>
        <v>9173.7000000000007</v>
      </c>
      <c r="E90" s="31">
        <f t="shared" si="12"/>
        <v>111.14</v>
      </c>
      <c r="F90" s="30">
        <f t="shared" si="12"/>
        <v>9.32</v>
      </c>
      <c r="G90" s="30">
        <f t="shared" si="12"/>
        <v>0</v>
      </c>
      <c r="H90" s="30">
        <f t="shared" si="12"/>
        <v>0</v>
      </c>
      <c r="I90" s="30">
        <f t="shared" si="12"/>
        <v>0</v>
      </c>
      <c r="J90" s="31">
        <f>SUM(D90:I90)</f>
        <v>9294.16</v>
      </c>
      <c r="K90" s="8"/>
      <c r="L90" s="8"/>
    </row>
    <row r="91" spans="1:12" ht="15.75" thickTop="1">
      <c r="A91" s="8"/>
      <c r="B91" s="8"/>
      <c r="C91" s="8"/>
      <c r="D91" s="20"/>
      <c r="E91" s="20"/>
      <c r="F91" s="15"/>
      <c r="G91" s="15"/>
      <c r="H91" s="15"/>
      <c r="I91" s="15"/>
      <c r="J91" s="20"/>
      <c r="K91" s="8"/>
      <c r="L91" s="8"/>
    </row>
    <row r="92" spans="1:12">
      <c r="A92" s="8"/>
      <c r="B92" s="8"/>
      <c r="C92" s="8"/>
      <c r="D92" s="20"/>
      <c r="E92" s="20"/>
      <c r="F92" s="15"/>
      <c r="G92" s="15"/>
      <c r="H92" s="15"/>
      <c r="I92" s="15"/>
      <c r="J92" s="20"/>
      <c r="K92" s="8"/>
      <c r="L92" s="8"/>
    </row>
    <row r="93" spans="1:12">
      <c r="A93" s="8">
        <v>34</v>
      </c>
      <c r="B93" s="8" t="s">
        <v>27</v>
      </c>
      <c r="C93" s="8" t="s">
        <v>12</v>
      </c>
      <c r="D93" s="20">
        <v>12539.47</v>
      </c>
      <c r="E93" s="20">
        <v>198.14</v>
      </c>
      <c r="F93" s="15"/>
      <c r="G93" s="15"/>
      <c r="H93" s="15"/>
      <c r="I93" s="15"/>
      <c r="J93" s="20">
        <f>SUM(D93:I93)</f>
        <v>12737.609999999999</v>
      </c>
      <c r="K93" s="8"/>
      <c r="L93" s="8"/>
    </row>
    <row r="94" spans="1:12">
      <c r="A94" s="8"/>
      <c r="B94" s="8"/>
      <c r="C94" s="8" t="s">
        <v>35</v>
      </c>
      <c r="D94" s="20">
        <v>467.01</v>
      </c>
      <c r="E94" s="20">
        <v>8.0500000000000007</v>
      </c>
      <c r="F94" s="15"/>
      <c r="G94" s="15"/>
      <c r="H94" s="15"/>
      <c r="I94" s="15"/>
      <c r="J94" s="20"/>
      <c r="K94" s="8"/>
      <c r="L94" s="8"/>
    </row>
    <row r="95" spans="1:12">
      <c r="A95" s="8"/>
      <c r="B95" s="8"/>
      <c r="C95" s="8" t="s">
        <v>13</v>
      </c>
      <c r="D95" s="20">
        <v>467.01</v>
      </c>
      <c r="E95" s="20">
        <v>7.7</v>
      </c>
      <c r="F95" s="15"/>
      <c r="G95" s="15"/>
      <c r="H95" s="15"/>
      <c r="I95" s="15"/>
      <c r="J95" s="20">
        <f>SUM(D95:I95)</f>
        <v>474.71</v>
      </c>
      <c r="K95" s="8"/>
      <c r="L95" s="8"/>
    </row>
    <row r="96" spans="1:12" ht="15.75" thickBot="1">
      <c r="A96" s="8"/>
      <c r="B96" s="8"/>
      <c r="C96" s="8" t="s">
        <v>78</v>
      </c>
      <c r="D96" s="29">
        <v>1094.45</v>
      </c>
      <c r="E96" s="29">
        <v>18.86</v>
      </c>
      <c r="F96" s="28"/>
      <c r="G96" s="28"/>
      <c r="H96" s="28"/>
      <c r="I96" s="28"/>
      <c r="J96" s="29">
        <f>SUM(D96:I96)</f>
        <v>1113.31</v>
      </c>
      <c r="K96" s="8"/>
      <c r="L96" s="8"/>
    </row>
    <row r="97" spans="1:12">
      <c r="A97" s="8"/>
      <c r="B97" s="8"/>
      <c r="C97" s="8"/>
      <c r="D97" s="20"/>
      <c r="E97" s="20"/>
      <c r="F97" s="15"/>
      <c r="G97" s="15"/>
      <c r="H97" s="15"/>
      <c r="I97" s="15"/>
      <c r="J97" s="20"/>
      <c r="K97" s="8"/>
      <c r="L97" s="8"/>
    </row>
    <row r="98" spans="1:12" ht="15.75" thickBot="1">
      <c r="A98" s="8"/>
      <c r="B98" s="8"/>
      <c r="C98" s="8" t="s">
        <v>10</v>
      </c>
      <c r="D98" s="31">
        <f t="shared" ref="D98:I98" si="13">SUM(D93:D97)</f>
        <v>14567.94</v>
      </c>
      <c r="E98" s="31">
        <f t="shared" si="13"/>
        <v>232.75</v>
      </c>
      <c r="F98" s="30">
        <f t="shared" si="13"/>
        <v>0</v>
      </c>
      <c r="G98" s="30">
        <f t="shared" si="13"/>
        <v>0</v>
      </c>
      <c r="H98" s="30">
        <f t="shared" si="13"/>
        <v>0</v>
      </c>
      <c r="I98" s="30">
        <f t="shared" si="13"/>
        <v>0</v>
      </c>
      <c r="J98" s="31">
        <f>SUM(D98:I98)</f>
        <v>14800.69</v>
      </c>
      <c r="K98" s="8"/>
      <c r="L98" s="8"/>
    </row>
    <row r="99" spans="1:12" ht="15.75" thickTop="1">
      <c r="A99" s="8"/>
      <c r="B99" s="8"/>
      <c r="C99" s="8"/>
      <c r="D99" s="20"/>
      <c r="E99" s="20"/>
      <c r="F99" s="15"/>
      <c r="G99" s="15"/>
      <c r="H99" s="15"/>
      <c r="I99" s="15"/>
      <c r="J99" s="20"/>
      <c r="K99" s="8"/>
      <c r="L99" s="8"/>
    </row>
    <row r="100" spans="1:12">
      <c r="A100" s="8"/>
      <c r="B100" s="8"/>
      <c r="C100" s="8"/>
      <c r="D100" s="20"/>
      <c r="E100" s="20"/>
      <c r="F100" s="15"/>
      <c r="G100" s="15"/>
      <c r="H100" s="15"/>
      <c r="I100" s="15"/>
      <c r="J100" s="20"/>
      <c r="K100" s="8"/>
      <c r="L100" s="8"/>
    </row>
    <row r="101" spans="1:12" ht="15.75" thickBot="1">
      <c r="A101" s="8">
        <v>35</v>
      </c>
      <c r="B101" s="8" t="s">
        <v>28</v>
      </c>
      <c r="C101" s="8" t="s">
        <v>12</v>
      </c>
      <c r="D101" s="29">
        <v>6613.84</v>
      </c>
      <c r="E101" s="29">
        <v>27.5</v>
      </c>
      <c r="F101" s="28">
        <v>2.93</v>
      </c>
      <c r="G101" s="28">
        <v>2.93</v>
      </c>
      <c r="H101" s="28">
        <v>3.21</v>
      </c>
      <c r="I101" s="28"/>
      <c r="J101" s="29">
        <f>SUM(D101:I101)</f>
        <v>6650.4100000000008</v>
      </c>
      <c r="K101" s="8"/>
      <c r="L101" s="8"/>
    </row>
    <row r="102" spans="1:12">
      <c r="A102" s="8"/>
      <c r="B102" s="8"/>
      <c r="C102" s="8"/>
      <c r="D102" s="20"/>
      <c r="E102" s="20"/>
      <c r="F102" s="15"/>
      <c r="G102" s="15"/>
      <c r="H102" s="15"/>
      <c r="I102" s="15"/>
      <c r="J102" s="20"/>
      <c r="K102" s="8"/>
      <c r="L102" s="8"/>
    </row>
    <row r="103" spans="1:12" ht="15.75" thickBot="1">
      <c r="A103" s="8"/>
      <c r="B103" s="8"/>
      <c r="C103" s="8" t="s">
        <v>10</v>
      </c>
      <c r="D103" s="31">
        <f t="shared" ref="D103:I103" si="14">SUM(D101:D102)</f>
        <v>6613.84</v>
      </c>
      <c r="E103" s="31">
        <f t="shared" si="14"/>
        <v>27.5</v>
      </c>
      <c r="F103" s="30">
        <f t="shared" si="14"/>
        <v>2.93</v>
      </c>
      <c r="G103" s="30">
        <f t="shared" si="14"/>
        <v>2.93</v>
      </c>
      <c r="H103" s="30">
        <f t="shared" si="14"/>
        <v>3.21</v>
      </c>
      <c r="I103" s="30">
        <f t="shared" si="14"/>
        <v>0</v>
      </c>
      <c r="J103" s="31">
        <f>SUM(D103:I103)</f>
        <v>6650.4100000000008</v>
      </c>
      <c r="K103" s="8"/>
      <c r="L103" s="8"/>
    </row>
    <row r="104" spans="1:12" ht="15.75" thickTop="1">
      <c r="A104" s="8"/>
      <c r="B104" s="8"/>
      <c r="C104" s="8"/>
      <c r="D104" s="20"/>
      <c r="E104" s="20"/>
      <c r="F104" s="15"/>
      <c r="G104" s="15"/>
      <c r="H104" s="15"/>
      <c r="I104" s="15"/>
      <c r="J104" s="20"/>
      <c r="K104" s="8"/>
      <c r="L104" s="8"/>
    </row>
    <row r="105" spans="1:12">
      <c r="A105" s="8"/>
      <c r="B105" s="8"/>
      <c r="C105" s="8"/>
      <c r="D105" s="20"/>
      <c r="E105" s="20"/>
      <c r="F105" s="15"/>
      <c r="G105" s="15"/>
      <c r="H105" s="15"/>
      <c r="I105" s="15"/>
      <c r="J105" s="20"/>
      <c r="K105" s="8"/>
      <c r="L105" s="8"/>
    </row>
    <row r="106" spans="1:12">
      <c r="A106" s="8">
        <v>36</v>
      </c>
      <c r="B106" s="8" t="s">
        <v>29</v>
      </c>
      <c r="C106" s="8" t="s">
        <v>12</v>
      </c>
      <c r="D106" s="20">
        <v>8595.92</v>
      </c>
      <c r="E106" s="20">
        <v>252.95</v>
      </c>
      <c r="F106" s="15">
        <v>34.840000000000003</v>
      </c>
      <c r="G106" s="15">
        <v>34.46</v>
      </c>
      <c r="H106" s="15"/>
      <c r="I106" s="15"/>
      <c r="J106" s="20">
        <f>SUM(D106:I106)</f>
        <v>8918.17</v>
      </c>
      <c r="K106" s="8"/>
      <c r="L106" s="8"/>
    </row>
    <row r="107" spans="1:12" ht="15.75" thickBot="1">
      <c r="A107" s="8"/>
      <c r="B107" s="8"/>
      <c r="C107" s="8" t="s">
        <v>13</v>
      </c>
      <c r="D107" s="29">
        <v>332.44</v>
      </c>
      <c r="E107" s="29">
        <v>9.9700000000000006</v>
      </c>
      <c r="F107" s="28">
        <v>1.93</v>
      </c>
      <c r="G107" s="28">
        <v>2.65</v>
      </c>
      <c r="H107" s="28"/>
      <c r="I107" s="28"/>
      <c r="J107" s="29">
        <f>SUM(D107:I107)</f>
        <v>346.99</v>
      </c>
      <c r="K107" s="8"/>
      <c r="L107" s="8"/>
    </row>
    <row r="108" spans="1:12">
      <c r="A108" s="8"/>
      <c r="B108" s="8"/>
      <c r="C108" s="8"/>
      <c r="D108" s="20"/>
      <c r="E108" s="20"/>
      <c r="F108" s="15"/>
      <c r="G108" s="15"/>
      <c r="H108" s="15"/>
      <c r="I108" s="15"/>
      <c r="J108" s="20"/>
      <c r="K108" s="8"/>
      <c r="L108" s="8"/>
    </row>
    <row r="109" spans="1:12" ht="15.75" thickBot="1">
      <c r="A109" s="8"/>
      <c r="B109" s="8"/>
      <c r="C109" s="8" t="s">
        <v>10</v>
      </c>
      <c r="D109" s="31">
        <f t="shared" ref="D109:I109" si="15">SUM(D106:D107)</f>
        <v>8928.36</v>
      </c>
      <c r="E109" s="31">
        <f t="shared" si="15"/>
        <v>262.92</v>
      </c>
      <c r="F109" s="30">
        <f t="shared" si="15"/>
        <v>36.770000000000003</v>
      </c>
      <c r="G109" s="30">
        <f t="shared" si="15"/>
        <v>37.11</v>
      </c>
      <c r="H109" s="30">
        <f t="shared" si="15"/>
        <v>0</v>
      </c>
      <c r="I109" s="30">
        <f t="shared" si="15"/>
        <v>0</v>
      </c>
      <c r="J109" s="31">
        <f>SUM(D109:I109)</f>
        <v>9265.1600000000017</v>
      </c>
      <c r="K109" s="8"/>
      <c r="L109" s="8"/>
    </row>
    <row r="110" spans="1:12" ht="15.75" thickTop="1">
      <c r="A110" s="8"/>
      <c r="B110" s="8"/>
      <c r="C110" s="8"/>
      <c r="D110" s="20"/>
      <c r="E110" s="20"/>
      <c r="F110" s="15"/>
      <c r="G110" s="15"/>
      <c r="H110" s="15"/>
      <c r="I110" s="15"/>
      <c r="J110" s="20"/>
      <c r="K110" s="8"/>
      <c r="L110" s="8"/>
    </row>
    <row r="111" spans="1:12">
      <c r="A111" s="8"/>
      <c r="B111" s="8"/>
      <c r="C111" s="8"/>
      <c r="D111" s="20"/>
      <c r="E111" s="20"/>
      <c r="F111" s="15"/>
      <c r="G111" s="15"/>
      <c r="H111" s="15"/>
      <c r="I111" s="15"/>
      <c r="J111" s="20"/>
      <c r="K111" s="8"/>
      <c r="L111" s="8"/>
    </row>
    <row r="112" spans="1:12" ht="15.75" thickBot="1">
      <c r="A112" s="8">
        <v>37</v>
      </c>
      <c r="B112" s="8" t="s">
        <v>30</v>
      </c>
      <c r="C112" s="8" t="s">
        <v>12</v>
      </c>
      <c r="D112" s="29">
        <v>7624.21</v>
      </c>
      <c r="E112" s="29">
        <v>540.79999999999995</v>
      </c>
      <c r="F112" s="28">
        <v>488.72</v>
      </c>
      <c r="G112" s="28">
        <v>489.31</v>
      </c>
      <c r="H112" s="28">
        <v>478.07</v>
      </c>
      <c r="I112" s="28">
        <v>13.11</v>
      </c>
      <c r="J112" s="29">
        <f>SUM(D112:I112)</f>
        <v>9634.2199999999993</v>
      </c>
      <c r="K112" s="8"/>
      <c r="L112" s="8"/>
    </row>
    <row r="113" spans="1:12">
      <c r="A113" s="8"/>
      <c r="B113" s="8"/>
      <c r="C113" s="8"/>
      <c r="D113" s="20"/>
      <c r="E113" s="20"/>
      <c r="F113" s="15"/>
      <c r="G113" s="15"/>
      <c r="H113" s="15"/>
      <c r="I113" s="15"/>
      <c r="J113" s="20"/>
      <c r="K113" s="8"/>
      <c r="L113" s="8"/>
    </row>
    <row r="114" spans="1:12" ht="15.75" thickBot="1">
      <c r="A114" s="8"/>
      <c r="B114" s="8"/>
      <c r="C114" s="8" t="s">
        <v>10</v>
      </c>
      <c r="D114" s="31">
        <f t="shared" ref="D114:I114" si="16">SUM(D112:D113)</f>
        <v>7624.21</v>
      </c>
      <c r="E114" s="31">
        <f t="shared" si="16"/>
        <v>540.79999999999995</v>
      </c>
      <c r="F114" s="30">
        <f t="shared" si="16"/>
        <v>488.72</v>
      </c>
      <c r="G114" s="30">
        <f t="shared" si="16"/>
        <v>489.31</v>
      </c>
      <c r="H114" s="30">
        <f t="shared" si="16"/>
        <v>478.07</v>
      </c>
      <c r="I114" s="30">
        <f t="shared" si="16"/>
        <v>13.11</v>
      </c>
      <c r="J114" s="31">
        <f>SUM(D114:I114)</f>
        <v>9634.2199999999993</v>
      </c>
      <c r="K114" s="8"/>
      <c r="L114" s="8"/>
    </row>
    <row r="115" spans="1:12" ht="15.75" thickTop="1">
      <c r="A115" s="8"/>
      <c r="B115" s="8"/>
      <c r="C115" s="8"/>
      <c r="D115" s="20"/>
      <c r="E115" s="20"/>
      <c r="F115" s="15"/>
      <c r="G115" s="15"/>
      <c r="H115" s="15"/>
      <c r="I115" s="15"/>
      <c r="J115" s="20"/>
      <c r="K115" s="8"/>
      <c r="L115" s="8"/>
    </row>
    <row r="116" spans="1:12">
      <c r="A116" s="8"/>
      <c r="B116" s="8"/>
      <c r="C116" s="8"/>
      <c r="D116" s="20"/>
      <c r="E116" s="20"/>
      <c r="F116" s="15"/>
      <c r="G116" s="15"/>
      <c r="H116" s="15"/>
      <c r="I116" s="15"/>
      <c r="J116" s="20"/>
      <c r="K116" s="8"/>
      <c r="L116" s="8"/>
    </row>
    <row r="117" spans="1:12">
      <c r="A117" s="8">
        <v>38</v>
      </c>
      <c r="B117" s="8" t="s">
        <v>31</v>
      </c>
      <c r="C117" s="8" t="s">
        <v>12</v>
      </c>
      <c r="D117" s="20">
        <v>8344.85</v>
      </c>
      <c r="E117" s="20">
        <v>344.55</v>
      </c>
      <c r="F117" s="15"/>
      <c r="G117" s="15"/>
      <c r="H117" s="15"/>
      <c r="I117" s="15"/>
      <c r="J117" s="20">
        <f>SUM(D117:I117)</f>
        <v>8689.4</v>
      </c>
      <c r="K117" s="8"/>
      <c r="L117" s="8"/>
    </row>
    <row r="118" spans="1:12">
      <c r="A118" s="8"/>
      <c r="B118" s="8"/>
      <c r="C118" s="8" t="s">
        <v>35</v>
      </c>
      <c r="D118" s="20">
        <v>758.05</v>
      </c>
      <c r="E118" s="20">
        <v>32.67</v>
      </c>
      <c r="F118" s="15"/>
      <c r="G118" s="15"/>
      <c r="H118" s="15"/>
      <c r="I118" s="15"/>
      <c r="J118" s="20">
        <f>SUM(D118:I118)</f>
        <v>790.71999999999991</v>
      </c>
      <c r="K118" s="8"/>
      <c r="L118" s="8"/>
    </row>
    <row r="119" spans="1:12">
      <c r="A119" s="8"/>
      <c r="B119" s="8"/>
      <c r="C119" s="8" t="s">
        <v>13</v>
      </c>
      <c r="D119" s="20">
        <v>501.86</v>
      </c>
      <c r="E119" s="20">
        <v>21.04</v>
      </c>
      <c r="F119" s="15"/>
      <c r="G119" s="15"/>
      <c r="H119" s="15"/>
      <c r="I119" s="15"/>
      <c r="J119" s="20">
        <f>SUM(D119:I119)</f>
        <v>522.9</v>
      </c>
      <c r="K119" s="8"/>
      <c r="L119" s="8"/>
    </row>
    <row r="120" spans="1:12" ht="15.75" thickBot="1">
      <c r="A120" s="8"/>
      <c r="B120" s="8"/>
      <c r="C120" s="8" t="s">
        <v>78</v>
      </c>
      <c r="D120" s="29">
        <v>1159.5999999999999</v>
      </c>
      <c r="E120" s="29">
        <v>44.99</v>
      </c>
      <c r="F120" s="28"/>
      <c r="G120" s="28"/>
      <c r="H120" s="28"/>
      <c r="I120" s="28"/>
      <c r="J120" s="29">
        <f>SUM(D120:I120)</f>
        <v>1204.5899999999999</v>
      </c>
      <c r="K120" s="8"/>
      <c r="L120" s="8"/>
    </row>
    <row r="121" spans="1:12">
      <c r="A121" s="8"/>
      <c r="B121" s="8"/>
      <c r="C121" s="8"/>
      <c r="D121" s="20"/>
      <c r="E121" s="20"/>
      <c r="F121" s="15"/>
      <c r="G121" s="15"/>
      <c r="H121" s="15"/>
      <c r="I121" s="15"/>
      <c r="J121" s="20"/>
      <c r="K121" s="8"/>
      <c r="L121" s="8"/>
    </row>
    <row r="122" spans="1:12" ht="15.75" thickBot="1">
      <c r="A122" s="8"/>
      <c r="B122" s="8"/>
      <c r="C122" s="8" t="s">
        <v>10</v>
      </c>
      <c r="D122" s="31">
        <f t="shared" ref="D122:I122" si="17">SUM(D117:D120)</f>
        <v>10764.36</v>
      </c>
      <c r="E122" s="31">
        <f t="shared" si="17"/>
        <v>443.25000000000006</v>
      </c>
      <c r="F122" s="30">
        <f t="shared" si="17"/>
        <v>0</v>
      </c>
      <c r="G122" s="30">
        <f t="shared" si="17"/>
        <v>0</v>
      </c>
      <c r="H122" s="30">
        <f t="shared" si="17"/>
        <v>0</v>
      </c>
      <c r="I122" s="30">
        <f t="shared" si="17"/>
        <v>0</v>
      </c>
      <c r="J122" s="31">
        <f>SUM(D122:I122)</f>
        <v>11207.61</v>
      </c>
      <c r="K122" s="8"/>
      <c r="L122" s="8"/>
    </row>
    <row r="123" spans="1:12" ht="15.75" thickTop="1">
      <c r="A123" s="8"/>
      <c r="B123" s="8"/>
      <c r="C123" s="8"/>
      <c r="D123" s="20"/>
      <c r="E123" s="20"/>
      <c r="F123" s="15"/>
      <c r="G123" s="15"/>
      <c r="H123" s="15"/>
      <c r="I123" s="15"/>
      <c r="J123" s="20"/>
      <c r="K123" s="8"/>
      <c r="L123" s="8"/>
    </row>
    <row r="124" spans="1:12">
      <c r="A124" s="8"/>
      <c r="B124" s="8"/>
      <c r="C124" s="8"/>
      <c r="D124" s="20"/>
      <c r="E124" s="20"/>
      <c r="F124" s="15"/>
      <c r="G124" s="15"/>
      <c r="H124" s="15"/>
      <c r="I124" s="15"/>
      <c r="J124" s="20"/>
      <c r="K124" s="8"/>
      <c r="L124" s="8"/>
    </row>
    <row r="125" spans="1:12" ht="15.75" thickBot="1">
      <c r="A125" s="8">
        <v>39</v>
      </c>
      <c r="B125" s="8" t="s">
        <v>32</v>
      </c>
      <c r="C125" s="8" t="s">
        <v>12</v>
      </c>
      <c r="D125" s="29"/>
      <c r="E125" s="29">
        <v>0</v>
      </c>
      <c r="F125" s="28">
        <v>0</v>
      </c>
      <c r="G125" s="28">
        <v>0</v>
      </c>
      <c r="H125" s="28">
        <v>0</v>
      </c>
      <c r="I125" s="28">
        <v>0</v>
      </c>
      <c r="J125" s="29">
        <f>SUM(D125:I125)</f>
        <v>0</v>
      </c>
      <c r="K125" s="8"/>
      <c r="L125" s="8"/>
    </row>
    <row r="126" spans="1:12">
      <c r="A126" s="8"/>
      <c r="B126" s="8"/>
      <c r="C126" s="8"/>
      <c r="D126" s="20"/>
      <c r="E126" s="20"/>
      <c r="F126" s="15"/>
      <c r="G126" s="15"/>
      <c r="H126" s="15"/>
      <c r="I126" s="15"/>
      <c r="J126" s="20"/>
      <c r="K126" s="8"/>
      <c r="L126" s="8"/>
    </row>
    <row r="127" spans="1:12" ht="15.75" thickBot="1">
      <c r="A127" s="8"/>
      <c r="B127" s="8"/>
      <c r="C127" s="8" t="s">
        <v>10</v>
      </c>
      <c r="D127" s="31">
        <f>D125</f>
        <v>0</v>
      </c>
      <c r="E127" s="31">
        <f t="shared" ref="E127:J127" si="18">E125</f>
        <v>0</v>
      </c>
      <c r="F127" s="30">
        <f t="shared" si="18"/>
        <v>0</v>
      </c>
      <c r="G127" s="30">
        <f t="shared" si="18"/>
        <v>0</v>
      </c>
      <c r="H127" s="30">
        <f t="shared" si="18"/>
        <v>0</v>
      </c>
      <c r="I127" s="30">
        <f t="shared" si="18"/>
        <v>0</v>
      </c>
      <c r="J127" s="30">
        <f t="shared" si="18"/>
        <v>0</v>
      </c>
      <c r="K127" s="8"/>
      <c r="L127" s="8"/>
    </row>
    <row r="128" spans="1:12" ht="15.75" thickTop="1">
      <c r="A128" s="8"/>
      <c r="B128" s="8"/>
      <c r="C128" s="8"/>
      <c r="D128" s="20"/>
      <c r="E128" s="20"/>
      <c r="F128" s="15"/>
      <c r="G128" s="15"/>
      <c r="H128" s="15"/>
      <c r="I128" s="15"/>
      <c r="J128" s="20"/>
      <c r="K128" s="8"/>
      <c r="L128" s="8"/>
    </row>
    <row r="129" spans="1:12">
      <c r="A129" s="8"/>
      <c r="B129" s="8"/>
      <c r="C129" s="8"/>
      <c r="D129" s="20"/>
      <c r="E129" s="20"/>
      <c r="F129" s="15"/>
      <c r="G129" s="15"/>
      <c r="H129" s="15"/>
      <c r="I129" s="15"/>
      <c r="J129" s="20"/>
      <c r="K129" s="8"/>
      <c r="L129" s="8"/>
    </row>
    <row r="130" spans="1:12" ht="15.75" thickBot="1">
      <c r="A130" s="8">
        <v>40</v>
      </c>
      <c r="B130" s="8" t="s">
        <v>33</v>
      </c>
      <c r="C130" s="8" t="s">
        <v>12</v>
      </c>
      <c r="D130" s="29">
        <v>9294.59</v>
      </c>
      <c r="E130" s="29">
        <v>281.70999999999998</v>
      </c>
      <c r="F130" s="28">
        <v>0</v>
      </c>
      <c r="G130" s="28">
        <v>0</v>
      </c>
      <c r="H130" s="28">
        <v>0</v>
      </c>
      <c r="I130" s="28">
        <v>0</v>
      </c>
      <c r="J130" s="29">
        <f>SUM(D130:I130)</f>
        <v>9576.2999999999993</v>
      </c>
      <c r="K130" s="8"/>
      <c r="L130" s="8"/>
    </row>
    <row r="131" spans="1:12">
      <c r="A131" s="8"/>
      <c r="B131" s="8"/>
      <c r="C131" s="8"/>
      <c r="D131" s="20"/>
      <c r="E131" s="20"/>
      <c r="F131" s="15"/>
      <c r="G131" s="15"/>
      <c r="H131" s="15"/>
      <c r="I131" s="15"/>
      <c r="J131" s="20"/>
      <c r="K131" s="8"/>
      <c r="L131" s="8"/>
    </row>
    <row r="132" spans="1:12" ht="15.75" thickBot="1">
      <c r="A132" s="8"/>
      <c r="B132" s="8"/>
      <c r="C132" s="8" t="s">
        <v>10</v>
      </c>
      <c r="D132" s="31">
        <f t="shared" ref="D132:I132" si="19">SUM(D130:D131)</f>
        <v>9294.59</v>
      </c>
      <c r="E132" s="31">
        <f t="shared" si="19"/>
        <v>281.70999999999998</v>
      </c>
      <c r="F132" s="30">
        <f t="shared" si="19"/>
        <v>0</v>
      </c>
      <c r="G132" s="30">
        <f t="shared" si="19"/>
        <v>0</v>
      </c>
      <c r="H132" s="30">
        <f t="shared" si="19"/>
        <v>0</v>
      </c>
      <c r="I132" s="30">
        <f t="shared" si="19"/>
        <v>0</v>
      </c>
      <c r="J132" s="31">
        <f>SUM(D132:I132)</f>
        <v>9576.2999999999993</v>
      </c>
      <c r="K132" s="8"/>
      <c r="L132" s="8"/>
    </row>
    <row r="133" spans="1:12" ht="15.75" thickTop="1">
      <c r="A133" s="8"/>
      <c r="B133" s="8"/>
      <c r="C133" s="8"/>
      <c r="D133" s="20"/>
      <c r="E133" s="20"/>
      <c r="F133" s="15"/>
      <c r="G133" s="15"/>
      <c r="H133" s="15"/>
      <c r="I133" s="15"/>
      <c r="J133" s="20"/>
      <c r="K133" s="8"/>
      <c r="L133" s="8"/>
    </row>
    <row r="134" spans="1:12">
      <c r="A134" s="8"/>
      <c r="B134" s="8"/>
      <c r="C134" s="8"/>
      <c r="D134" s="20"/>
      <c r="E134" s="20"/>
      <c r="F134" s="15"/>
      <c r="G134" s="15"/>
      <c r="H134" s="15"/>
      <c r="I134" s="15"/>
      <c r="J134" s="20"/>
      <c r="K134" s="8"/>
      <c r="L134" s="8"/>
    </row>
    <row r="135" spans="1:12">
      <c r="A135" s="8">
        <v>41</v>
      </c>
      <c r="B135" s="8" t="s">
        <v>34</v>
      </c>
      <c r="C135" s="8" t="s">
        <v>12</v>
      </c>
      <c r="D135" s="20">
        <v>7669.61</v>
      </c>
      <c r="E135" s="20">
        <v>167.11</v>
      </c>
      <c r="F135" s="15"/>
      <c r="G135" s="15"/>
      <c r="H135" s="15"/>
      <c r="I135" s="15"/>
      <c r="J135" s="20">
        <f>SUM(D135:I135)</f>
        <v>7836.7199999999993</v>
      </c>
      <c r="K135" s="8"/>
      <c r="L135" s="8"/>
    </row>
    <row r="136" spans="1:12" ht="15.75" thickBot="1">
      <c r="A136" s="8"/>
      <c r="B136" s="8"/>
      <c r="C136" s="8" t="s">
        <v>35</v>
      </c>
      <c r="D136" s="29">
        <v>293.86</v>
      </c>
      <c r="E136" s="29">
        <v>6.6</v>
      </c>
      <c r="F136" s="28"/>
      <c r="G136" s="28"/>
      <c r="H136" s="28"/>
      <c r="I136" s="28"/>
      <c r="J136" s="29">
        <f>SUM(D136:I136)</f>
        <v>300.46000000000004</v>
      </c>
      <c r="K136" s="8"/>
      <c r="L136" s="8"/>
    </row>
    <row r="137" spans="1:12">
      <c r="A137" s="8"/>
      <c r="B137" s="8"/>
      <c r="C137" s="8"/>
      <c r="D137" s="20"/>
      <c r="E137" s="20"/>
      <c r="F137" s="15"/>
      <c r="G137" s="15"/>
      <c r="H137" s="15"/>
      <c r="I137" s="15"/>
      <c r="J137" s="20"/>
      <c r="K137" s="8"/>
      <c r="L137" s="8"/>
    </row>
    <row r="138" spans="1:12" ht="15.75" thickBot="1">
      <c r="A138" s="8"/>
      <c r="B138" s="8"/>
      <c r="C138" s="8" t="s">
        <v>10</v>
      </c>
      <c r="D138" s="31">
        <f t="shared" ref="D138:I138" si="20">SUM(D135:D136)</f>
        <v>7963.4699999999993</v>
      </c>
      <c r="E138" s="31">
        <f t="shared" si="20"/>
        <v>173.71</v>
      </c>
      <c r="F138" s="30">
        <f t="shared" si="20"/>
        <v>0</v>
      </c>
      <c r="G138" s="30">
        <f t="shared" si="20"/>
        <v>0</v>
      </c>
      <c r="H138" s="30">
        <f t="shared" si="20"/>
        <v>0</v>
      </c>
      <c r="I138" s="30">
        <f t="shared" si="20"/>
        <v>0</v>
      </c>
      <c r="J138" s="31">
        <f>SUM(D138:I138)</f>
        <v>8137.1799999999994</v>
      </c>
      <c r="K138" s="8"/>
      <c r="L138" s="8"/>
    </row>
    <row r="139" spans="1:12" ht="15.75" thickTop="1">
      <c r="A139" s="8"/>
      <c r="B139" s="8"/>
      <c r="C139" s="8"/>
      <c r="D139" s="20"/>
      <c r="E139" s="20"/>
      <c r="F139" s="15"/>
      <c r="G139" s="15"/>
      <c r="H139" s="15"/>
      <c r="I139" s="15"/>
      <c r="J139" s="20"/>
      <c r="K139" s="8"/>
      <c r="L139" s="8"/>
    </row>
    <row r="140" spans="1:12">
      <c r="A140" s="8"/>
      <c r="B140" s="8"/>
      <c r="C140" s="8"/>
      <c r="D140" s="20"/>
      <c r="E140" s="20"/>
      <c r="F140" s="15"/>
      <c r="G140" s="15"/>
      <c r="H140" s="15"/>
      <c r="I140" s="15"/>
      <c r="J140" s="20"/>
      <c r="K140" s="8"/>
      <c r="L140" s="8"/>
    </row>
    <row r="141" spans="1:12">
      <c r="A141" s="8">
        <v>42</v>
      </c>
      <c r="B141" s="8" t="s">
        <v>36</v>
      </c>
      <c r="C141" s="8" t="s">
        <v>12</v>
      </c>
      <c r="D141" s="20">
        <v>11265.62</v>
      </c>
      <c r="E141" s="20">
        <v>104.48</v>
      </c>
      <c r="F141" s="15"/>
      <c r="G141" s="15"/>
      <c r="H141" s="15"/>
      <c r="I141" s="15"/>
      <c r="J141" s="20">
        <f>SUM(D141:I141)</f>
        <v>11370.1</v>
      </c>
      <c r="K141" s="8"/>
      <c r="L141" s="8"/>
    </row>
    <row r="142" spans="1:12" ht="15.75" thickBot="1">
      <c r="A142" s="8"/>
      <c r="B142" s="8"/>
      <c r="C142" s="8" t="s">
        <v>13</v>
      </c>
      <c r="D142" s="29">
        <v>375.53</v>
      </c>
      <c r="E142" s="29">
        <v>5.51</v>
      </c>
      <c r="F142" s="28"/>
      <c r="G142" s="28"/>
      <c r="H142" s="28"/>
      <c r="I142" s="28"/>
      <c r="J142" s="29">
        <f>SUM(D142:I142)</f>
        <v>381.03999999999996</v>
      </c>
      <c r="K142" s="8"/>
      <c r="L142" s="8"/>
    </row>
    <row r="143" spans="1:12">
      <c r="A143" s="8"/>
      <c r="B143" s="8"/>
      <c r="C143" s="8"/>
      <c r="D143" s="20"/>
      <c r="E143" s="20"/>
      <c r="F143" s="15"/>
      <c r="G143" s="15"/>
      <c r="H143" s="15"/>
      <c r="I143" s="15"/>
      <c r="J143" s="20"/>
      <c r="K143" s="8"/>
      <c r="L143" s="8"/>
    </row>
    <row r="144" spans="1:12" ht="15.75" thickBot="1">
      <c r="A144" s="8"/>
      <c r="B144" s="8"/>
      <c r="C144" s="8" t="s">
        <v>10</v>
      </c>
      <c r="D144" s="31">
        <f t="shared" ref="D144:I144" si="21">SUM(D141:D142)</f>
        <v>11641.150000000001</v>
      </c>
      <c r="E144" s="31">
        <f t="shared" si="21"/>
        <v>109.99000000000001</v>
      </c>
      <c r="F144" s="30">
        <f t="shared" si="21"/>
        <v>0</v>
      </c>
      <c r="G144" s="30">
        <f t="shared" si="21"/>
        <v>0</v>
      </c>
      <c r="H144" s="30">
        <f t="shared" si="21"/>
        <v>0</v>
      </c>
      <c r="I144" s="30">
        <f t="shared" si="21"/>
        <v>0</v>
      </c>
      <c r="J144" s="31">
        <f>SUM(D144:I144)</f>
        <v>11751.140000000001</v>
      </c>
      <c r="K144" s="8"/>
      <c r="L144" s="8"/>
    </row>
    <row r="145" spans="1:12" ht="15.75" thickTop="1">
      <c r="A145" s="8"/>
      <c r="B145" s="8"/>
      <c r="C145" s="8"/>
      <c r="D145" s="20"/>
      <c r="E145" s="20"/>
      <c r="F145" s="15"/>
      <c r="G145" s="15"/>
      <c r="H145" s="15"/>
      <c r="I145" s="15"/>
      <c r="J145" s="20"/>
      <c r="K145" s="8"/>
      <c r="L145" s="8"/>
    </row>
    <row r="146" spans="1:12">
      <c r="A146" s="8"/>
      <c r="B146" s="8"/>
      <c r="C146" s="8"/>
      <c r="D146" s="20"/>
      <c r="E146" s="20"/>
      <c r="F146" s="15"/>
      <c r="G146" s="15"/>
      <c r="H146" s="15"/>
      <c r="I146" s="15"/>
      <c r="J146" s="20"/>
      <c r="K146" s="8"/>
      <c r="L146" s="8"/>
    </row>
    <row r="147" spans="1:12">
      <c r="A147" s="8">
        <v>43</v>
      </c>
      <c r="B147" s="8" t="s">
        <v>37</v>
      </c>
      <c r="C147" s="8" t="s">
        <v>12</v>
      </c>
      <c r="D147" s="20">
        <v>6800.79</v>
      </c>
      <c r="E147" s="20">
        <v>0</v>
      </c>
      <c r="F147" s="15"/>
      <c r="G147" s="15"/>
      <c r="H147" s="15"/>
      <c r="I147" s="15"/>
      <c r="J147" s="20">
        <f>SUM(D147:I147)</f>
        <v>6800.79</v>
      </c>
      <c r="K147" s="8"/>
      <c r="L147" s="8"/>
    </row>
    <row r="148" spans="1:12">
      <c r="A148" s="8"/>
      <c r="B148" s="8"/>
      <c r="C148" s="8" t="s">
        <v>35</v>
      </c>
      <c r="D148" s="20">
        <v>408.25</v>
      </c>
      <c r="E148" s="20"/>
      <c r="F148" s="15"/>
      <c r="G148" s="15"/>
      <c r="H148" s="15"/>
      <c r="I148" s="15"/>
      <c r="J148" s="20">
        <f>SUM(D148:I148)</f>
        <v>408.25</v>
      </c>
      <c r="K148" s="8"/>
      <c r="L148" s="8"/>
    </row>
    <row r="149" spans="1:12">
      <c r="A149" s="8"/>
      <c r="B149" s="8"/>
      <c r="C149" s="8" t="s">
        <v>13</v>
      </c>
      <c r="D149" s="20">
        <v>404.22</v>
      </c>
      <c r="E149" s="20"/>
      <c r="F149" s="15"/>
      <c r="G149" s="15"/>
      <c r="H149" s="15"/>
      <c r="I149" s="15"/>
      <c r="J149" s="20">
        <f>SUM(D149:I149)</f>
        <v>404.22</v>
      </c>
      <c r="K149" s="8"/>
      <c r="L149" s="8"/>
    </row>
    <row r="150" spans="1:12" ht="15.75" thickBot="1">
      <c r="A150" s="8"/>
      <c r="B150" s="8"/>
      <c r="C150" s="8" t="s">
        <v>78</v>
      </c>
      <c r="D150" s="29">
        <v>1123.1500000000001</v>
      </c>
      <c r="E150" s="29"/>
      <c r="F150" s="28"/>
      <c r="G150" s="28"/>
      <c r="H150" s="28"/>
      <c r="I150" s="28"/>
      <c r="J150" s="29">
        <f>SUM(D150:I150)</f>
        <v>1123.1500000000001</v>
      </c>
      <c r="K150" s="8"/>
      <c r="L150" s="8"/>
    </row>
    <row r="151" spans="1:12">
      <c r="A151" s="8"/>
      <c r="B151" s="8"/>
      <c r="C151" s="8"/>
      <c r="D151" s="20"/>
      <c r="E151" s="20"/>
      <c r="F151" s="15"/>
      <c r="G151" s="15"/>
      <c r="H151" s="15"/>
      <c r="I151" s="15"/>
      <c r="J151" s="20"/>
      <c r="K151" s="8"/>
      <c r="L151" s="8"/>
    </row>
    <row r="152" spans="1:12" ht="15.75" thickBot="1">
      <c r="A152" s="8"/>
      <c r="B152" s="8"/>
      <c r="C152" s="8" t="s">
        <v>10</v>
      </c>
      <c r="D152" s="31">
        <f t="shared" ref="D152:I152" si="22">SUM(D147:D150)</f>
        <v>8736.41</v>
      </c>
      <c r="E152" s="31">
        <f>SUM(E147:E150)</f>
        <v>0</v>
      </c>
      <c r="F152" s="30">
        <f t="shared" si="22"/>
        <v>0</v>
      </c>
      <c r="G152" s="30">
        <f t="shared" si="22"/>
        <v>0</v>
      </c>
      <c r="H152" s="30">
        <f t="shared" si="22"/>
        <v>0</v>
      </c>
      <c r="I152" s="30">
        <f t="shared" si="22"/>
        <v>0</v>
      </c>
      <c r="J152" s="31">
        <f>SUM(D152:I152)</f>
        <v>8736.41</v>
      </c>
      <c r="K152" s="8"/>
      <c r="L152" s="8"/>
    </row>
    <row r="153" spans="1:12" ht="15.75" thickTop="1">
      <c r="A153" s="8"/>
      <c r="B153" s="8"/>
      <c r="C153" s="8"/>
      <c r="D153" s="20"/>
      <c r="E153" s="20"/>
      <c r="F153" s="15"/>
      <c r="G153" s="15"/>
      <c r="H153" s="15"/>
      <c r="I153" s="15"/>
      <c r="J153" s="20"/>
      <c r="K153" s="8"/>
      <c r="L153" s="8"/>
    </row>
    <row r="154" spans="1:12">
      <c r="A154" s="8"/>
      <c r="B154" s="8"/>
      <c r="C154" s="8"/>
      <c r="D154" s="20"/>
      <c r="E154" s="20"/>
      <c r="F154" s="15"/>
      <c r="G154" s="15"/>
      <c r="H154" s="15"/>
      <c r="I154" s="15"/>
      <c r="J154" s="20"/>
      <c r="K154" s="8"/>
      <c r="L154" s="8"/>
    </row>
    <row r="155" spans="1:12" ht="15.75" thickBot="1">
      <c r="A155" s="8">
        <v>44</v>
      </c>
      <c r="B155" s="8" t="s">
        <v>38</v>
      </c>
      <c r="C155" s="8" t="s">
        <v>12</v>
      </c>
      <c r="D155" s="29">
        <v>16176.18</v>
      </c>
      <c r="E155" s="29">
        <v>641.13</v>
      </c>
      <c r="F155" s="28">
        <v>1.4</v>
      </c>
      <c r="G155" s="28"/>
      <c r="H155" s="28"/>
      <c r="I155" s="28">
        <v>0</v>
      </c>
      <c r="J155" s="29">
        <f>SUM(D155:I155)</f>
        <v>16818.710000000003</v>
      </c>
      <c r="K155" s="8"/>
      <c r="L155" s="8"/>
    </row>
    <row r="156" spans="1:12">
      <c r="A156" s="8"/>
      <c r="B156" s="8"/>
      <c r="C156" s="8"/>
      <c r="D156" s="20"/>
      <c r="E156" s="20"/>
      <c r="F156" s="15"/>
      <c r="G156" s="15"/>
      <c r="H156" s="15"/>
      <c r="I156" s="15"/>
      <c r="J156" s="20"/>
      <c r="K156" s="8"/>
      <c r="L156" s="8"/>
    </row>
    <row r="157" spans="1:12" ht="15.75" thickBot="1">
      <c r="A157" s="8"/>
      <c r="B157" s="8"/>
      <c r="C157" s="8" t="s">
        <v>10</v>
      </c>
      <c r="D157" s="31">
        <f t="shared" ref="D157:I157" si="23">SUM(D155:D156)</f>
        <v>16176.18</v>
      </c>
      <c r="E157" s="31">
        <f t="shared" si="23"/>
        <v>641.13</v>
      </c>
      <c r="F157" s="30">
        <f t="shared" si="23"/>
        <v>1.4</v>
      </c>
      <c r="G157" s="30">
        <f t="shared" si="23"/>
        <v>0</v>
      </c>
      <c r="H157" s="30">
        <f t="shared" si="23"/>
        <v>0</v>
      </c>
      <c r="I157" s="30">
        <f t="shared" si="23"/>
        <v>0</v>
      </c>
      <c r="J157" s="31">
        <f>SUM(D157:I157)</f>
        <v>16818.710000000003</v>
      </c>
      <c r="K157" s="8"/>
      <c r="L157" s="8"/>
    </row>
    <row r="158" spans="1:12" ht="15.75" thickTop="1">
      <c r="A158" s="8"/>
      <c r="B158" s="8"/>
      <c r="C158" s="8"/>
      <c r="D158" s="20"/>
      <c r="E158" s="20"/>
      <c r="F158" s="15"/>
      <c r="G158" s="15" t="s">
        <v>70</v>
      </c>
      <c r="H158" s="15" t="s">
        <v>70</v>
      </c>
      <c r="I158" s="15" t="s">
        <v>70</v>
      </c>
      <c r="J158" s="20"/>
      <c r="K158" s="8"/>
      <c r="L158" s="8"/>
    </row>
    <row r="159" spans="1:12">
      <c r="A159" s="8"/>
      <c r="B159" s="8"/>
      <c r="C159" s="8"/>
      <c r="D159" s="20"/>
      <c r="E159" s="20"/>
      <c r="F159" s="15"/>
      <c r="G159" s="15"/>
      <c r="H159" s="15"/>
      <c r="I159" s="15"/>
      <c r="J159" s="20"/>
      <c r="K159" s="8"/>
      <c r="L159" s="8"/>
    </row>
    <row r="160" spans="1:12" ht="15.75" thickBot="1">
      <c r="A160" s="8">
        <v>45</v>
      </c>
      <c r="B160" s="8" t="s">
        <v>39</v>
      </c>
      <c r="C160" s="8" t="s">
        <v>12</v>
      </c>
      <c r="D160" s="29">
        <v>6139.49</v>
      </c>
      <c r="E160" s="29">
        <v>365.31</v>
      </c>
      <c r="F160" s="28"/>
      <c r="G160" s="28"/>
      <c r="H160" s="28"/>
      <c r="I160" s="28">
        <v>0</v>
      </c>
      <c r="J160" s="29">
        <f>SUM(D160:I160)</f>
        <v>6504.8</v>
      </c>
      <c r="K160" s="8"/>
      <c r="L160" s="8"/>
    </row>
    <row r="161" spans="1:12">
      <c r="A161" s="8"/>
      <c r="B161" s="8"/>
      <c r="C161" s="8"/>
      <c r="D161" s="20"/>
      <c r="E161" s="20"/>
      <c r="F161" s="15"/>
      <c r="G161" s="15"/>
      <c r="H161" s="15"/>
      <c r="I161" s="15"/>
      <c r="J161" s="20"/>
      <c r="K161" s="8"/>
      <c r="L161" s="8"/>
    </row>
    <row r="162" spans="1:12" ht="15.75" thickBot="1">
      <c r="A162" s="8"/>
      <c r="B162" s="8"/>
      <c r="C162" s="8" t="s">
        <v>10</v>
      </c>
      <c r="D162" s="31">
        <f t="shared" ref="D162:I162" si="24">SUM(D160:D161)</f>
        <v>6139.49</v>
      </c>
      <c r="E162" s="31">
        <f t="shared" si="24"/>
        <v>365.31</v>
      </c>
      <c r="F162" s="30">
        <f t="shared" si="24"/>
        <v>0</v>
      </c>
      <c r="G162" s="30">
        <f t="shared" si="24"/>
        <v>0</v>
      </c>
      <c r="H162" s="30">
        <f t="shared" si="24"/>
        <v>0</v>
      </c>
      <c r="I162" s="30">
        <f t="shared" si="24"/>
        <v>0</v>
      </c>
      <c r="J162" s="31">
        <f>SUM(D162:I162)</f>
        <v>6504.8</v>
      </c>
      <c r="K162" s="8"/>
      <c r="L162" s="8"/>
    </row>
    <row r="163" spans="1:12" ht="15.75" thickTop="1">
      <c r="A163" s="8"/>
      <c r="B163" s="8"/>
      <c r="C163" s="8"/>
      <c r="D163" s="20"/>
      <c r="E163" s="20"/>
      <c r="F163" s="15"/>
      <c r="G163" s="15"/>
      <c r="H163" s="15"/>
      <c r="I163" s="15"/>
      <c r="J163" s="20"/>
      <c r="K163" s="8"/>
      <c r="L163" s="8"/>
    </row>
    <row r="164" spans="1:12">
      <c r="A164" s="8"/>
      <c r="B164" s="8"/>
      <c r="C164" s="8"/>
      <c r="D164" s="20"/>
      <c r="E164" s="20"/>
      <c r="F164" s="15"/>
      <c r="G164" s="15"/>
      <c r="H164" s="15"/>
      <c r="I164" s="15"/>
      <c r="J164" s="20"/>
      <c r="K164" s="8"/>
      <c r="L164" s="8"/>
    </row>
    <row r="165" spans="1:12" ht="15.75" thickBot="1">
      <c r="A165" s="8">
        <v>46</v>
      </c>
      <c r="B165" s="8" t="s">
        <v>40</v>
      </c>
      <c r="C165" s="8" t="s">
        <v>12</v>
      </c>
      <c r="D165" s="29">
        <v>6336.3</v>
      </c>
      <c r="E165" s="29">
        <v>168.05</v>
      </c>
      <c r="F165" s="28">
        <v>5.24</v>
      </c>
      <c r="G165" s="28">
        <v>0</v>
      </c>
      <c r="H165" s="28">
        <v>0</v>
      </c>
      <c r="I165" s="28">
        <v>0</v>
      </c>
      <c r="J165" s="29">
        <f>SUM(D165:I165)</f>
        <v>6509.59</v>
      </c>
      <c r="K165" s="8"/>
      <c r="L165" s="8"/>
    </row>
    <row r="166" spans="1:12">
      <c r="A166" s="8"/>
      <c r="B166" s="8"/>
      <c r="C166" s="8"/>
      <c r="D166" s="20"/>
      <c r="E166" s="20"/>
      <c r="F166" s="15"/>
      <c r="G166" s="15"/>
      <c r="H166" s="15"/>
      <c r="I166" s="15"/>
      <c r="J166" s="20"/>
      <c r="K166" s="8"/>
      <c r="L166" s="8"/>
    </row>
    <row r="167" spans="1:12" ht="15.75" thickBot="1">
      <c r="A167" s="8"/>
      <c r="B167" s="8"/>
      <c r="C167" s="8" t="s">
        <v>10</v>
      </c>
      <c r="D167" s="31">
        <f t="shared" ref="D167:I167" si="25">SUM(D165:D166)</f>
        <v>6336.3</v>
      </c>
      <c r="E167" s="31">
        <f t="shared" si="25"/>
        <v>168.05</v>
      </c>
      <c r="F167" s="30">
        <f t="shared" si="25"/>
        <v>5.24</v>
      </c>
      <c r="G167" s="30">
        <f t="shared" si="25"/>
        <v>0</v>
      </c>
      <c r="H167" s="30">
        <f t="shared" si="25"/>
        <v>0</v>
      </c>
      <c r="I167" s="30">
        <f t="shared" si="25"/>
        <v>0</v>
      </c>
      <c r="J167" s="31">
        <f>SUM(D167:I167)</f>
        <v>6509.59</v>
      </c>
      <c r="K167" s="8"/>
      <c r="L167" s="8"/>
    </row>
    <row r="168" spans="1:12" ht="15.75" thickTop="1">
      <c r="A168" s="8"/>
      <c r="B168" s="8"/>
      <c r="C168" s="8"/>
      <c r="D168" s="20"/>
      <c r="E168" s="20"/>
      <c r="F168" s="15"/>
      <c r="G168" s="15"/>
      <c r="H168" s="15"/>
      <c r="I168" s="15"/>
      <c r="J168" s="20"/>
      <c r="K168" s="8"/>
      <c r="L168" s="8"/>
    </row>
    <row r="169" spans="1:12">
      <c r="A169" s="8"/>
      <c r="B169" s="8"/>
      <c r="C169" s="8"/>
      <c r="D169" s="20"/>
      <c r="E169" s="20"/>
      <c r="F169" s="15"/>
      <c r="G169" s="15"/>
      <c r="H169" s="15"/>
      <c r="I169" s="15"/>
      <c r="J169" s="20"/>
      <c r="K169" s="8"/>
      <c r="L169" s="8"/>
    </row>
    <row r="170" spans="1:12" ht="15.75" thickBot="1">
      <c r="A170" s="8">
        <v>47</v>
      </c>
      <c r="B170" s="8" t="s">
        <v>41</v>
      </c>
      <c r="C170" s="8" t="s">
        <v>12</v>
      </c>
      <c r="D170" s="29">
        <v>6718.54</v>
      </c>
      <c r="E170" s="29">
        <v>337.77</v>
      </c>
      <c r="F170" s="28">
        <v>274.91000000000003</v>
      </c>
      <c r="G170" s="28">
        <v>46.28</v>
      </c>
      <c r="H170" s="28">
        <v>0</v>
      </c>
      <c r="I170" s="28">
        <v>0</v>
      </c>
      <c r="J170" s="29">
        <f>SUM(D170:I170)</f>
        <v>7377.4999999999991</v>
      </c>
      <c r="K170" s="8"/>
      <c r="L170" s="8"/>
    </row>
    <row r="171" spans="1:12">
      <c r="A171" s="8"/>
      <c r="B171" s="8"/>
      <c r="C171" s="8"/>
      <c r="D171" s="20"/>
      <c r="E171" s="20"/>
      <c r="F171" s="15"/>
      <c r="G171" s="15"/>
      <c r="H171" s="15"/>
      <c r="I171" s="15"/>
      <c r="J171" s="20"/>
      <c r="K171" s="8"/>
      <c r="L171" s="8"/>
    </row>
    <row r="172" spans="1:12" ht="15.75" thickBot="1">
      <c r="A172" s="8"/>
      <c r="B172" s="8"/>
      <c r="C172" s="8" t="s">
        <v>10</v>
      </c>
      <c r="D172" s="31">
        <f t="shared" ref="D172:I172" si="26">SUM(D170:D171)</f>
        <v>6718.54</v>
      </c>
      <c r="E172" s="31">
        <f t="shared" si="26"/>
        <v>337.77</v>
      </c>
      <c r="F172" s="30">
        <f t="shared" si="26"/>
        <v>274.91000000000003</v>
      </c>
      <c r="G172" s="30">
        <f t="shared" si="26"/>
        <v>46.28</v>
      </c>
      <c r="H172" s="30">
        <f t="shared" si="26"/>
        <v>0</v>
      </c>
      <c r="I172" s="30">
        <f t="shared" si="26"/>
        <v>0</v>
      </c>
      <c r="J172" s="31">
        <f>SUM(D172:I172)</f>
        <v>7377.4999999999991</v>
      </c>
      <c r="K172" s="8"/>
      <c r="L172" s="8"/>
    </row>
    <row r="173" spans="1:12" ht="15.75" thickTop="1">
      <c r="A173" s="8"/>
      <c r="B173" s="8"/>
      <c r="C173" s="8"/>
      <c r="D173" s="20"/>
      <c r="E173" s="20"/>
      <c r="F173" s="15"/>
      <c r="G173" s="15"/>
      <c r="H173" s="15"/>
      <c r="I173" s="15"/>
      <c r="J173" s="20"/>
      <c r="K173" s="8"/>
      <c r="L173" s="8"/>
    </row>
    <row r="174" spans="1:12">
      <c r="A174" s="8"/>
      <c r="B174" s="8"/>
      <c r="C174" s="8"/>
      <c r="D174" s="20"/>
      <c r="E174" s="20"/>
      <c r="F174" s="15"/>
      <c r="G174" s="15"/>
      <c r="H174" s="15"/>
      <c r="I174" s="15"/>
      <c r="J174" s="20"/>
      <c r="K174" s="8"/>
      <c r="L174" s="8"/>
    </row>
    <row r="175" spans="1:12" ht="15.75" thickBot="1">
      <c r="A175" s="8">
        <v>48</v>
      </c>
      <c r="B175" s="8" t="s">
        <v>42</v>
      </c>
      <c r="C175" s="8" t="s">
        <v>12</v>
      </c>
      <c r="D175" s="29">
        <v>9889.1200000000008</v>
      </c>
      <c r="E175" s="29">
        <v>552.57000000000005</v>
      </c>
      <c r="F175" s="28"/>
      <c r="G175" s="28"/>
      <c r="H175" s="28">
        <v>0</v>
      </c>
      <c r="I175" s="28">
        <v>0</v>
      </c>
      <c r="J175" s="29">
        <f>SUM(D175:I175)</f>
        <v>10441.69</v>
      </c>
      <c r="K175" s="8"/>
      <c r="L175" s="8"/>
    </row>
    <row r="176" spans="1:12">
      <c r="A176" s="8"/>
      <c r="B176" s="8"/>
      <c r="C176" s="8"/>
      <c r="D176" s="20"/>
      <c r="E176" s="20"/>
      <c r="F176" s="15"/>
      <c r="G176" s="15"/>
      <c r="H176" s="15"/>
      <c r="I176" s="15"/>
      <c r="J176" s="20"/>
      <c r="K176" s="8"/>
      <c r="L176" s="8"/>
    </row>
    <row r="177" spans="1:12" ht="15.75" thickBot="1">
      <c r="A177" s="8"/>
      <c r="B177" s="8"/>
      <c r="C177" s="8"/>
      <c r="D177" s="31">
        <f t="shared" ref="D177:I177" si="27">SUM(D175:D176)</f>
        <v>9889.1200000000008</v>
      </c>
      <c r="E177" s="31">
        <f t="shared" si="27"/>
        <v>552.57000000000005</v>
      </c>
      <c r="F177" s="30">
        <f t="shared" si="27"/>
        <v>0</v>
      </c>
      <c r="G177" s="30">
        <f t="shared" si="27"/>
        <v>0</v>
      </c>
      <c r="H177" s="30">
        <f t="shared" si="27"/>
        <v>0</v>
      </c>
      <c r="I177" s="30">
        <f t="shared" si="27"/>
        <v>0</v>
      </c>
      <c r="J177" s="31">
        <f>SUM(D177:I177)</f>
        <v>10441.69</v>
      </c>
      <c r="K177" s="8"/>
      <c r="L177" s="8"/>
    </row>
    <row r="178" spans="1:12" ht="15.75" thickTop="1">
      <c r="A178" s="8"/>
      <c r="B178" s="8"/>
      <c r="C178" s="8"/>
      <c r="D178" s="20"/>
      <c r="E178" s="20"/>
      <c r="F178" s="15"/>
      <c r="G178" s="15"/>
      <c r="H178" s="15"/>
      <c r="I178" s="15"/>
      <c r="J178" s="20"/>
      <c r="K178" s="8"/>
      <c r="L178" s="8"/>
    </row>
    <row r="179" spans="1:12">
      <c r="A179" s="8"/>
      <c r="B179" s="8"/>
      <c r="C179" s="8"/>
      <c r="D179" s="20"/>
      <c r="E179" s="20"/>
      <c r="F179" s="15"/>
      <c r="G179" s="15"/>
      <c r="H179" s="15"/>
      <c r="I179" s="15"/>
      <c r="J179" s="20"/>
      <c r="K179" s="8"/>
      <c r="L179" s="8"/>
    </row>
    <row r="180" spans="1:12" ht="15.75" thickBot="1">
      <c r="A180" s="8">
        <v>49</v>
      </c>
      <c r="B180" s="8" t="s">
        <v>43</v>
      </c>
      <c r="C180" s="8" t="s">
        <v>12</v>
      </c>
      <c r="D180" s="29">
        <v>12996.08</v>
      </c>
      <c r="E180" s="29">
        <v>40.29</v>
      </c>
      <c r="F180" s="28">
        <v>36.36</v>
      </c>
      <c r="G180" s="28">
        <v>35.51</v>
      </c>
      <c r="H180" s="28">
        <v>36.36</v>
      </c>
      <c r="I180" s="28">
        <v>0</v>
      </c>
      <c r="J180" s="29">
        <f>SUM(D180:I180)</f>
        <v>13144.600000000002</v>
      </c>
      <c r="K180" s="8"/>
      <c r="L180" s="8"/>
    </row>
    <row r="181" spans="1:12">
      <c r="A181" s="8"/>
      <c r="B181" s="8"/>
      <c r="C181" s="8"/>
      <c r="D181" s="20"/>
      <c r="E181" s="20"/>
      <c r="F181" s="15"/>
      <c r="G181" s="15"/>
      <c r="H181" s="15"/>
      <c r="I181" s="15"/>
      <c r="J181" s="20"/>
      <c r="K181" s="8"/>
      <c r="L181" s="8"/>
    </row>
    <row r="182" spans="1:12" ht="15.75" thickBot="1">
      <c r="A182" s="8"/>
      <c r="B182" s="8"/>
      <c r="C182" s="8" t="s">
        <v>10</v>
      </c>
      <c r="D182" s="31">
        <f t="shared" ref="D182:I182" si="28">SUM(D180:D181)</f>
        <v>12996.08</v>
      </c>
      <c r="E182" s="31">
        <f t="shared" si="28"/>
        <v>40.29</v>
      </c>
      <c r="F182" s="30">
        <f t="shared" si="28"/>
        <v>36.36</v>
      </c>
      <c r="G182" s="30">
        <f t="shared" si="28"/>
        <v>35.51</v>
      </c>
      <c r="H182" s="30">
        <f t="shared" si="28"/>
        <v>36.36</v>
      </c>
      <c r="I182" s="30">
        <f t="shared" si="28"/>
        <v>0</v>
      </c>
      <c r="J182" s="31">
        <f>SUM(D182:I182)</f>
        <v>13144.600000000002</v>
      </c>
      <c r="K182" s="8"/>
      <c r="L182" s="8"/>
    </row>
    <row r="183" spans="1:12" ht="15.75" thickTop="1">
      <c r="A183" s="8"/>
      <c r="B183" s="8"/>
      <c r="C183" s="8"/>
      <c r="D183" s="20"/>
      <c r="E183" s="20"/>
      <c r="F183" s="15"/>
      <c r="G183" s="15"/>
      <c r="H183" s="15"/>
      <c r="I183" s="15"/>
      <c r="J183" s="20"/>
      <c r="K183" s="8"/>
      <c r="L183" s="8"/>
    </row>
    <row r="184" spans="1:12">
      <c r="A184" s="8"/>
      <c r="B184" s="8"/>
      <c r="C184" s="8"/>
      <c r="D184" s="20"/>
      <c r="E184" s="20"/>
      <c r="F184" s="15"/>
      <c r="G184" s="15"/>
      <c r="H184" s="15"/>
      <c r="I184" s="15"/>
      <c r="J184" s="20"/>
      <c r="K184" s="8"/>
      <c r="L184" s="8"/>
    </row>
    <row r="185" spans="1:12">
      <c r="A185" s="8">
        <v>50</v>
      </c>
      <c r="B185" s="8" t="s">
        <v>44</v>
      </c>
      <c r="C185" s="8" t="s">
        <v>12</v>
      </c>
      <c r="D185" s="20">
        <v>4029.1</v>
      </c>
      <c r="E185" s="20">
        <v>116.19</v>
      </c>
      <c r="F185" s="15">
        <v>43.35</v>
      </c>
      <c r="G185" s="15">
        <v>43.25</v>
      </c>
      <c r="H185" s="15"/>
      <c r="I185" s="15"/>
      <c r="J185" s="20">
        <f>SUM(D185:I185)</f>
        <v>4231.8900000000003</v>
      </c>
      <c r="K185" s="8"/>
      <c r="L185" s="8"/>
    </row>
    <row r="186" spans="1:12" ht="15.75" thickBot="1">
      <c r="A186" s="8"/>
      <c r="B186" s="8"/>
      <c r="C186" s="8" t="s">
        <v>13</v>
      </c>
      <c r="D186" s="29">
        <v>100.82</v>
      </c>
      <c r="E186" s="29">
        <v>2.33</v>
      </c>
      <c r="F186" s="28">
        <v>1.05</v>
      </c>
      <c r="G186" s="28">
        <v>0.97</v>
      </c>
      <c r="H186" s="28"/>
      <c r="I186" s="28"/>
      <c r="J186" s="29">
        <f>SUM(D186:I186)</f>
        <v>105.16999999999999</v>
      </c>
      <c r="K186" s="8"/>
      <c r="L186" s="8"/>
    </row>
    <row r="187" spans="1:12">
      <c r="A187" s="8"/>
      <c r="B187" s="8"/>
      <c r="C187" s="8"/>
      <c r="D187" s="20"/>
      <c r="E187" s="20"/>
      <c r="F187" s="15"/>
      <c r="G187" s="15"/>
      <c r="H187" s="15"/>
      <c r="I187" s="15"/>
      <c r="J187" s="20"/>
      <c r="K187" s="8"/>
      <c r="L187" s="8"/>
    </row>
    <row r="188" spans="1:12" ht="15.75" thickBot="1">
      <c r="A188" s="8"/>
      <c r="B188" s="8"/>
      <c r="C188" s="8" t="s">
        <v>10</v>
      </c>
      <c r="D188" s="31">
        <f t="shared" ref="D188:I188" si="29">SUM(D185:D186)</f>
        <v>4129.92</v>
      </c>
      <c r="E188" s="31">
        <f t="shared" si="29"/>
        <v>118.52</v>
      </c>
      <c r="F188" s="30">
        <f t="shared" si="29"/>
        <v>44.4</v>
      </c>
      <c r="G188" s="30">
        <f t="shared" si="29"/>
        <v>44.22</v>
      </c>
      <c r="H188" s="30">
        <f t="shared" si="29"/>
        <v>0</v>
      </c>
      <c r="I188" s="30">
        <f t="shared" si="29"/>
        <v>0</v>
      </c>
      <c r="J188" s="31">
        <f>SUM(D188:I188)</f>
        <v>4337.0600000000004</v>
      </c>
      <c r="K188" s="8"/>
      <c r="L188" s="8"/>
    </row>
    <row r="189" spans="1:12" ht="15.75" thickTop="1">
      <c r="A189" s="8"/>
      <c r="B189" s="8"/>
      <c r="C189" s="8"/>
      <c r="D189" s="20"/>
      <c r="E189" s="20"/>
      <c r="F189" s="15"/>
      <c r="G189" s="15"/>
      <c r="H189" s="15"/>
      <c r="I189" s="15"/>
      <c r="J189" s="20"/>
      <c r="K189" s="8"/>
      <c r="L189" s="8"/>
    </row>
    <row r="190" spans="1:12">
      <c r="A190" s="8"/>
      <c r="B190" s="8"/>
      <c r="C190" s="8"/>
      <c r="D190" s="20"/>
      <c r="E190" s="20"/>
      <c r="F190" s="15"/>
      <c r="G190" s="15"/>
      <c r="H190" s="15"/>
      <c r="I190" s="15"/>
      <c r="J190" s="20"/>
      <c r="K190" s="8"/>
      <c r="L190" s="8"/>
    </row>
    <row r="191" spans="1:12">
      <c r="A191" s="8">
        <v>51</v>
      </c>
      <c r="B191" s="8" t="s">
        <v>45</v>
      </c>
      <c r="C191" s="8" t="s">
        <v>12</v>
      </c>
      <c r="D191" s="20">
        <v>10513.11</v>
      </c>
      <c r="E191" s="20">
        <v>91.97</v>
      </c>
      <c r="F191" s="15">
        <v>86.1</v>
      </c>
      <c r="G191" s="15">
        <v>11.97</v>
      </c>
      <c r="H191" s="15"/>
      <c r="I191" s="15"/>
      <c r="J191" s="20">
        <f>SUM(D191:I191)</f>
        <v>10703.15</v>
      </c>
      <c r="K191" s="8"/>
      <c r="L191" s="8"/>
    </row>
    <row r="192" spans="1:12">
      <c r="A192" s="8"/>
      <c r="B192" s="8"/>
      <c r="C192" s="8" t="s">
        <v>13</v>
      </c>
      <c r="D192" s="20"/>
      <c r="E192" s="20"/>
      <c r="F192" s="15"/>
      <c r="G192" s="15"/>
      <c r="H192" s="15"/>
      <c r="I192" s="15"/>
      <c r="J192" s="20">
        <f>SUM(D192:I192)</f>
        <v>0</v>
      </c>
      <c r="K192" s="8"/>
      <c r="L192" s="8"/>
    </row>
    <row r="193" spans="1:12" ht="15.75" thickBot="1">
      <c r="A193" s="8"/>
      <c r="B193" s="8"/>
      <c r="C193" s="8" t="s">
        <v>46</v>
      </c>
      <c r="D193" s="29">
        <v>210.13</v>
      </c>
      <c r="E193" s="29">
        <v>1.78</v>
      </c>
      <c r="F193" s="28">
        <v>1.78</v>
      </c>
      <c r="G193" s="28">
        <v>0.15</v>
      </c>
      <c r="H193" s="28"/>
      <c r="I193" s="28"/>
      <c r="J193" s="29">
        <f>SUM(D193:I193)</f>
        <v>213.84</v>
      </c>
      <c r="K193" s="8"/>
      <c r="L193" s="8"/>
    </row>
    <row r="194" spans="1:12">
      <c r="A194" s="8"/>
      <c r="B194" s="8"/>
      <c r="C194" s="8"/>
      <c r="D194" s="20"/>
      <c r="E194" s="20"/>
      <c r="F194" s="15"/>
      <c r="G194" s="15"/>
      <c r="H194" s="15"/>
      <c r="I194" s="15"/>
      <c r="J194" s="20"/>
      <c r="K194" s="8"/>
      <c r="L194" s="8"/>
    </row>
    <row r="195" spans="1:12" ht="15.75" thickBot="1">
      <c r="A195" s="8"/>
      <c r="B195" s="8"/>
      <c r="C195" s="8" t="s">
        <v>10</v>
      </c>
      <c r="D195" s="31">
        <f t="shared" ref="D195:I195" si="30">SUM(D191:D193)</f>
        <v>10723.24</v>
      </c>
      <c r="E195" s="31">
        <f t="shared" si="30"/>
        <v>93.75</v>
      </c>
      <c r="F195" s="30">
        <f t="shared" si="30"/>
        <v>87.88</v>
      </c>
      <c r="G195" s="30">
        <f t="shared" si="30"/>
        <v>12.120000000000001</v>
      </c>
      <c r="H195" s="30">
        <f t="shared" si="30"/>
        <v>0</v>
      </c>
      <c r="I195" s="30">
        <f t="shared" si="30"/>
        <v>0</v>
      </c>
      <c r="J195" s="31">
        <f>SUM(D195:I195)</f>
        <v>10916.99</v>
      </c>
      <c r="K195" s="8"/>
      <c r="L195" s="8"/>
    </row>
    <row r="196" spans="1:12" ht="15.75" thickTop="1">
      <c r="A196" s="8"/>
      <c r="B196" s="8"/>
      <c r="C196" s="8"/>
      <c r="D196" s="20"/>
      <c r="E196" s="20"/>
      <c r="F196" s="15"/>
      <c r="G196" s="15"/>
      <c r="H196" s="15"/>
      <c r="I196" s="15"/>
      <c r="J196" s="20"/>
      <c r="K196" s="8"/>
      <c r="L196" s="8"/>
    </row>
    <row r="197" spans="1:12">
      <c r="A197" s="8"/>
      <c r="B197" s="8"/>
      <c r="C197" s="8"/>
      <c r="D197" s="20"/>
      <c r="E197" s="20"/>
      <c r="F197" s="15"/>
      <c r="G197" s="15"/>
      <c r="H197" s="15"/>
      <c r="I197" s="15"/>
      <c r="J197" s="20"/>
      <c r="K197" s="8"/>
      <c r="L197" s="8"/>
    </row>
    <row r="198" spans="1:12">
      <c r="A198" s="8">
        <v>52</v>
      </c>
      <c r="B198" s="8" t="s">
        <v>47</v>
      </c>
      <c r="C198" s="8" t="s">
        <v>12</v>
      </c>
      <c r="D198" s="20">
        <v>9763.11</v>
      </c>
      <c r="E198" s="20">
        <v>179.48</v>
      </c>
      <c r="F198" s="15"/>
      <c r="G198" s="15"/>
      <c r="H198" s="15">
        <v>0</v>
      </c>
      <c r="I198" s="15">
        <v>0</v>
      </c>
      <c r="J198" s="20">
        <f>SUM(D198:I198)</f>
        <v>9942.59</v>
      </c>
      <c r="K198" s="8"/>
      <c r="L198" s="8"/>
    </row>
    <row r="199" spans="1:12" ht="15.75" thickBot="1">
      <c r="A199" s="8"/>
      <c r="B199" s="8"/>
      <c r="C199" s="8" t="s">
        <v>13</v>
      </c>
      <c r="D199" s="29"/>
      <c r="E199" s="29"/>
      <c r="F199" s="28"/>
      <c r="G199" s="28"/>
      <c r="H199" s="28"/>
      <c r="I199" s="28"/>
      <c r="J199" s="34">
        <v>0</v>
      </c>
      <c r="K199" s="8"/>
      <c r="L199" s="8"/>
    </row>
    <row r="200" spans="1:12">
      <c r="A200" s="8"/>
      <c r="B200" s="8"/>
      <c r="C200" s="8"/>
      <c r="D200" s="20"/>
      <c r="E200" s="20"/>
      <c r="F200" s="15"/>
      <c r="G200" s="15"/>
      <c r="H200" s="15"/>
      <c r="I200" s="15"/>
      <c r="J200" s="20"/>
      <c r="K200" s="8"/>
      <c r="L200" s="8"/>
    </row>
    <row r="201" spans="1:12" ht="15.75" thickBot="1">
      <c r="A201" s="8"/>
      <c r="B201" s="8"/>
      <c r="C201" s="8" t="s">
        <v>10</v>
      </c>
      <c r="D201" s="31">
        <f t="shared" ref="D201:I201" si="31">SUM(D198:D199)</f>
        <v>9763.11</v>
      </c>
      <c r="E201" s="31">
        <f t="shared" si="31"/>
        <v>179.48</v>
      </c>
      <c r="F201" s="30">
        <f t="shared" si="31"/>
        <v>0</v>
      </c>
      <c r="G201" s="30">
        <f t="shared" si="31"/>
        <v>0</v>
      </c>
      <c r="H201" s="30">
        <f t="shared" si="31"/>
        <v>0</v>
      </c>
      <c r="I201" s="30">
        <f t="shared" si="31"/>
        <v>0</v>
      </c>
      <c r="J201" s="31">
        <f>SUM(D201:I201)</f>
        <v>9942.59</v>
      </c>
      <c r="K201" s="8"/>
      <c r="L201" s="8"/>
    </row>
    <row r="202" spans="1:12" ht="15.75" thickTop="1">
      <c r="A202" s="8"/>
      <c r="B202" s="8"/>
      <c r="C202" s="8"/>
      <c r="D202" s="20"/>
      <c r="E202" s="20"/>
      <c r="F202" s="15"/>
      <c r="G202" s="15"/>
      <c r="H202" s="15"/>
      <c r="I202" s="15"/>
      <c r="J202" s="20"/>
      <c r="K202" s="8"/>
      <c r="L202" s="8"/>
    </row>
    <row r="203" spans="1:12">
      <c r="A203" s="8"/>
      <c r="B203" s="8"/>
      <c r="C203" s="8"/>
      <c r="D203" s="20"/>
      <c r="E203" s="20"/>
      <c r="F203" s="15"/>
      <c r="G203" s="15"/>
      <c r="H203" s="15"/>
      <c r="I203" s="15"/>
      <c r="J203" s="20"/>
      <c r="K203" s="8"/>
      <c r="L203" s="8"/>
    </row>
    <row r="204" spans="1:12">
      <c r="A204" s="8">
        <v>53</v>
      </c>
      <c r="B204" s="8" t="s">
        <v>48</v>
      </c>
      <c r="C204" s="8" t="s">
        <v>12</v>
      </c>
      <c r="D204" s="20">
        <v>16236.48</v>
      </c>
      <c r="E204" s="20">
        <v>77.05</v>
      </c>
      <c r="F204" s="15">
        <v>68.92</v>
      </c>
      <c r="G204" s="15">
        <v>62.19</v>
      </c>
      <c r="H204" s="15">
        <v>1.1599999999999999</v>
      </c>
      <c r="I204" s="15"/>
      <c r="J204" s="20">
        <f>SUM(D204:I204)</f>
        <v>16445.8</v>
      </c>
      <c r="K204" s="8"/>
      <c r="L204" s="8"/>
    </row>
    <row r="205" spans="1:12">
      <c r="A205" s="8"/>
      <c r="B205" s="8"/>
      <c r="C205" s="8" t="s">
        <v>35</v>
      </c>
      <c r="D205" s="20">
        <v>902.41</v>
      </c>
      <c r="E205" s="20">
        <v>4.63</v>
      </c>
      <c r="F205" s="15">
        <v>4.25</v>
      </c>
      <c r="G205" s="15">
        <v>3.41</v>
      </c>
      <c r="H205" s="15">
        <v>0.44</v>
      </c>
      <c r="I205" s="15"/>
      <c r="J205" s="20">
        <f>SUM(D205:I205)</f>
        <v>915.14</v>
      </c>
      <c r="K205" s="8"/>
      <c r="L205" s="8"/>
    </row>
    <row r="206" spans="1:12">
      <c r="A206" s="8"/>
      <c r="B206" s="8"/>
      <c r="C206" s="8" t="s">
        <v>97</v>
      </c>
      <c r="D206" s="20">
        <v>450.98</v>
      </c>
      <c r="E206" s="20">
        <v>1.91</v>
      </c>
      <c r="F206" s="15">
        <v>1.55</v>
      </c>
      <c r="G206" s="15">
        <v>1.66</v>
      </c>
      <c r="H206" s="15"/>
      <c r="I206" s="15"/>
      <c r="J206" s="20">
        <f>SUM(D206:I206)</f>
        <v>456.10000000000008</v>
      </c>
      <c r="K206" s="8"/>
      <c r="L206" s="8"/>
    </row>
    <row r="207" spans="1:12" ht="15.75" thickBot="1">
      <c r="A207" s="8"/>
      <c r="B207" s="8"/>
      <c r="C207" s="8" t="s">
        <v>98</v>
      </c>
      <c r="D207" s="29">
        <v>2706.08</v>
      </c>
      <c r="E207" s="29">
        <v>13.35</v>
      </c>
      <c r="F207" s="28">
        <v>11.97</v>
      </c>
      <c r="G207" s="28">
        <v>10.76</v>
      </c>
      <c r="H207" s="28">
        <v>0.47</v>
      </c>
      <c r="I207" s="28"/>
      <c r="J207" s="29">
        <f>SUM(D207:I207)</f>
        <v>2742.6299999999997</v>
      </c>
      <c r="K207" s="8"/>
      <c r="L207" s="8"/>
    </row>
    <row r="208" spans="1:12">
      <c r="A208" s="8"/>
      <c r="B208" s="8"/>
      <c r="C208" s="8"/>
      <c r="D208" s="20"/>
      <c r="E208" s="20"/>
      <c r="F208" s="15"/>
      <c r="G208" s="15"/>
      <c r="H208" s="15"/>
      <c r="I208" s="15"/>
      <c r="J208" s="20"/>
      <c r="K208" s="8"/>
      <c r="L208" s="8"/>
    </row>
    <row r="209" spans="1:12" ht="15.75" thickBot="1">
      <c r="A209" s="8"/>
      <c r="B209" s="8"/>
      <c r="C209" s="8" t="s">
        <v>10</v>
      </c>
      <c r="D209" s="31">
        <f>SUM(D204:D208)</f>
        <v>20295.949999999997</v>
      </c>
      <c r="E209" s="31">
        <f t="shared" ref="E209:J209" si="32">SUM(E204:E208)</f>
        <v>96.939999999999984</v>
      </c>
      <c r="F209" s="30">
        <f t="shared" si="32"/>
        <v>86.69</v>
      </c>
      <c r="G209" s="30">
        <f t="shared" si="32"/>
        <v>78.02</v>
      </c>
      <c r="H209" s="30">
        <f t="shared" si="32"/>
        <v>2.0699999999999998</v>
      </c>
      <c r="I209" s="30">
        <f t="shared" si="32"/>
        <v>0</v>
      </c>
      <c r="J209" s="30">
        <f t="shared" si="32"/>
        <v>20559.669999999998</v>
      </c>
      <c r="K209" s="8"/>
      <c r="L209" s="8"/>
    </row>
    <row r="210" spans="1:12" ht="15.75" thickTop="1">
      <c r="A210" s="8"/>
      <c r="B210" s="8"/>
      <c r="C210" s="8"/>
      <c r="D210" s="20"/>
      <c r="E210" s="20"/>
      <c r="F210" s="15"/>
      <c r="G210" s="15"/>
      <c r="H210" s="15"/>
      <c r="I210" s="15"/>
      <c r="J210" s="20"/>
      <c r="K210" s="8"/>
      <c r="L210" s="8"/>
    </row>
    <row r="211" spans="1:12">
      <c r="A211" s="8"/>
      <c r="B211" s="8"/>
      <c r="C211" s="8"/>
      <c r="D211" s="20"/>
      <c r="E211" s="20"/>
      <c r="F211" s="15"/>
      <c r="G211" s="15"/>
      <c r="H211" s="15"/>
      <c r="I211" s="15"/>
      <c r="J211" s="20"/>
      <c r="K211" s="8"/>
      <c r="L211" s="8"/>
    </row>
    <row r="212" spans="1:12">
      <c r="A212" s="8">
        <v>54</v>
      </c>
      <c r="B212" s="8" t="s">
        <v>49</v>
      </c>
      <c r="C212" s="8" t="s">
        <v>12</v>
      </c>
      <c r="D212" s="20">
        <v>7608.66</v>
      </c>
      <c r="E212" s="20">
        <v>7.05</v>
      </c>
      <c r="F212" s="15">
        <v>7.09</v>
      </c>
      <c r="G212" s="15">
        <v>25.32</v>
      </c>
      <c r="H212" s="15">
        <v>11.59</v>
      </c>
      <c r="I212" s="15">
        <v>0</v>
      </c>
      <c r="J212" s="20">
        <f>SUM(D212:I212)</f>
        <v>7659.71</v>
      </c>
      <c r="K212" s="8"/>
      <c r="L212" s="8"/>
    </row>
    <row r="213" spans="1:12" ht="15.75" thickBot="1">
      <c r="A213" s="8"/>
      <c r="B213" s="8"/>
      <c r="C213" s="8" t="s">
        <v>104</v>
      </c>
      <c r="D213" s="29"/>
      <c r="E213" s="29"/>
      <c r="F213" s="28"/>
      <c r="G213" s="28">
        <v>2.4300000000000002</v>
      </c>
      <c r="H213" s="28"/>
      <c r="I213" s="28"/>
      <c r="J213" s="29">
        <f>SUM(D213:I213)</f>
        <v>2.4300000000000002</v>
      </c>
      <c r="K213" s="8"/>
      <c r="L213" s="8"/>
    </row>
    <row r="214" spans="1:12">
      <c r="A214" s="8"/>
      <c r="B214" s="8"/>
      <c r="C214" s="8"/>
      <c r="D214" s="20"/>
      <c r="E214" s="20"/>
      <c r="F214" s="15"/>
      <c r="G214" s="15"/>
      <c r="H214" s="15"/>
      <c r="I214" s="15"/>
      <c r="J214" s="20"/>
      <c r="K214" s="8"/>
      <c r="L214" s="8"/>
    </row>
    <row r="215" spans="1:12" ht="15.75" thickBot="1">
      <c r="A215" s="8"/>
      <c r="B215" s="8"/>
      <c r="C215" s="8" t="s">
        <v>10</v>
      </c>
      <c r="D215" s="31">
        <f t="shared" ref="D215:I215" si="33">SUM(D212:D214)</f>
        <v>7608.66</v>
      </c>
      <c r="E215" s="31">
        <f t="shared" si="33"/>
        <v>7.05</v>
      </c>
      <c r="F215" s="30">
        <f t="shared" si="33"/>
        <v>7.09</v>
      </c>
      <c r="G215" s="30">
        <f t="shared" si="33"/>
        <v>27.75</v>
      </c>
      <c r="H215" s="30">
        <f t="shared" si="33"/>
        <v>11.59</v>
      </c>
      <c r="I215" s="30">
        <f t="shared" si="33"/>
        <v>0</v>
      </c>
      <c r="J215" s="31">
        <f>SUM(D215:I215)</f>
        <v>7662.14</v>
      </c>
      <c r="K215" s="8"/>
      <c r="L215" s="8"/>
    </row>
    <row r="216" spans="1:12" ht="15.75" thickTop="1">
      <c r="A216" s="8"/>
      <c r="B216" s="8"/>
      <c r="C216" s="8"/>
      <c r="D216" s="20"/>
      <c r="E216" s="20"/>
      <c r="F216" s="15"/>
      <c r="G216" s="15"/>
      <c r="H216" s="15"/>
      <c r="I216" s="15"/>
      <c r="J216" s="20"/>
      <c r="K216" s="8"/>
      <c r="L216" s="8"/>
    </row>
    <row r="217" spans="1:12">
      <c r="A217" s="8"/>
      <c r="B217" s="8"/>
      <c r="C217" s="8"/>
      <c r="D217" s="20"/>
      <c r="E217" s="20"/>
      <c r="F217" s="15"/>
      <c r="G217" s="15"/>
      <c r="H217" s="15"/>
      <c r="I217" s="15"/>
      <c r="J217" s="20"/>
      <c r="K217" s="8"/>
      <c r="L217" s="8"/>
    </row>
    <row r="218" spans="1:12">
      <c r="A218" s="8">
        <v>55</v>
      </c>
      <c r="B218" s="8" t="s">
        <v>50</v>
      </c>
      <c r="C218" s="8" t="s">
        <v>12</v>
      </c>
      <c r="D218" s="20">
        <v>18295.21</v>
      </c>
      <c r="E218" s="20">
        <v>537.37</v>
      </c>
      <c r="F218" s="15">
        <v>290.25</v>
      </c>
      <c r="G218" s="15">
        <v>254.89</v>
      </c>
      <c r="H218" s="15">
        <v>86.85</v>
      </c>
      <c r="I218" s="15"/>
      <c r="J218" s="20">
        <f>SUM(D218:I218)</f>
        <v>19464.569999999996</v>
      </c>
      <c r="K218" s="8"/>
      <c r="L218" s="8"/>
    </row>
    <row r="219" spans="1:12" ht="15.75" thickBot="1">
      <c r="A219" s="8"/>
      <c r="B219" s="8"/>
      <c r="C219" s="8" t="s">
        <v>13</v>
      </c>
      <c r="D219" s="29">
        <v>467.48</v>
      </c>
      <c r="E219" s="29">
        <v>13</v>
      </c>
      <c r="F219" s="28">
        <v>7.3</v>
      </c>
      <c r="G219" s="28">
        <v>6.63</v>
      </c>
      <c r="H219" s="28">
        <v>2.38</v>
      </c>
      <c r="I219" s="28"/>
      <c r="J219" s="29">
        <f>SUM(D219:I219)</f>
        <v>496.79</v>
      </c>
      <c r="K219" s="8"/>
      <c r="L219" s="8"/>
    </row>
    <row r="220" spans="1:12">
      <c r="A220" s="8"/>
      <c r="B220" s="8"/>
      <c r="C220" s="8"/>
      <c r="D220" s="20"/>
      <c r="E220" s="20"/>
      <c r="F220" s="15"/>
      <c r="G220" s="15"/>
      <c r="H220" s="15"/>
      <c r="I220" s="15"/>
      <c r="J220" s="20"/>
      <c r="K220" s="8"/>
      <c r="L220" s="8"/>
    </row>
    <row r="221" spans="1:12" ht="15.75" thickBot="1">
      <c r="A221" s="8"/>
      <c r="B221" s="8"/>
      <c r="C221" s="8" t="s">
        <v>10</v>
      </c>
      <c r="D221" s="31">
        <f t="shared" ref="D221:I221" si="34">SUM(D218:D219)</f>
        <v>18762.689999999999</v>
      </c>
      <c r="E221" s="31">
        <f t="shared" si="34"/>
        <v>550.37</v>
      </c>
      <c r="F221" s="30">
        <f t="shared" si="34"/>
        <v>297.55</v>
      </c>
      <c r="G221" s="30">
        <f t="shared" si="34"/>
        <v>261.52</v>
      </c>
      <c r="H221" s="30">
        <f t="shared" si="34"/>
        <v>89.22999999999999</v>
      </c>
      <c r="I221" s="30">
        <f t="shared" si="34"/>
        <v>0</v>
      </c>
      <c r="J221" s="31">
        <f>SUM(D221:I221)</f>
        <v>19961.359999999997</v>
      </c>
      <c r="K221" s="8"/>
      <c r="L221" s="8"/>
    </row>
    <row r="222" spans="1:12" ht="15.75" thickTop="1">
      <c r="A222" s="8"/>
      <c r="B222" s="8"/>
      <c r="C222" s="8"/>
      <c r="D222" s="20"/>
      <c r="E222" s="20"/>
      <c r="F222" s="15"/>
      <c r="G222" s="15"/>
      <c r="H222" s="15"/>
      <c r="I222" s="15"/>
      <c r="J222" s="20"/>
      <c r="K222" s="8"/>
      <c r="L222" s="8"/>
    </row>
    <row r="223" spans="1:12">
      <c r="A223" s="8"/>
      <c r="B223" s="8"/>
      <c r="C223" s="8"/>
      <c r="D223" s="20"/>
      <c r="E223" s="20"/>
      <c r="F223" s="15"/>
      <c r="G223" s="15"/>
      <c r="H223" s="15"/>
      <c r="I223" s="15"/>
      <c r="J223" s="20"/>
      <c r="K223" s="8"/>
      <c r="L223" s="8"/>
    </row>
    <row r="224" spans="1:12">
      <c r="A224" s="8">
        <v>56</v>
      </c>
      <c r="B224" s="8" t="s">
        <v>51</v>
      </c>
      <c r="C224" s="8" t="s">
        <v>12</v>
      </c>
      <c r="D224" s="20">
        <v>10636.41</v>
      </c>
      <c r="E224" s="20">
        <v>138.82</v>
      </c>
      <c r="F224" s="15"/>
      <c r="G224" s="15"/>
      <c r="H224" s="15"/>
      <c r="I224" s="15"/>
      <c r="J224" s="20">
        <f>SUM(D224:I224)</f>
        <v>10775.23</v>
      </c>
      <c r="K224" s="8"/>
      <c r="L224" s="8"/>
    </row>
    <row r="225" spans="1:12" ht="15.75" thickBot="1">
      <c r="A225" s="8"/>
      <c r="B225" s="8"/>
      <c r="C225" s="8" t="s">
        <v>13</v>
      </c>
      <c r="D225" s="29">
        <v>157.93</v>
      </c>
      <c r="E225" s="29">
        <v>2.15</v>
      </c>
      <c r="F225" s="28"/>
      <c r="G225" s="28"/>
      <c r="H225" s="28"/>
      <c r="I225" s="28"/>
      <c r="J225" s="29">
        <f>SUM(D225:I225)</f>
        <v>160.08000000000001</v>
      </c>
      <c r="K225" s="8"/>
      <c r="L225" s="8"/>
    </row>
    <row r="226" spans="1:12">
      <c r="A226" s="8"/>
      <c r="B226" s="8"/>
      <c r="C226" s="8"/>
      <c r="D226" s="20"/>
      <c r="E226" s="20"/>
      <c r="F226" s="15"/>
      <c r="G226" s="15"/>
      <c r="H226" s="15"/>
      <c r="I226" s="15"/>
      <c r="J226" s="20"/>
      <c r="K226" s="8"/>
      <c r="L226" s="8"/>
    </row>
    <row r="227" spans="1:12" ht="15.75" thickBot="1">
      <c r="A227" s="8"/>
      <c r="B227" s="8"/>
      <c r="C227" s="8" t="s">
        <v>10</v>
      </c>
      <c r="D227" s="31">
        <f t="shared" ref="D227:I227" si="35">SUM(D224:D225)</f>
        <v>10794.34</v>
      </c>
      <c r="E227" s="31">
        <f t="shared" si="35"/>
        <v>140.97</v>
      </c>
      <c r="F227" s="30">
        <f t="shared" si="35"/>
        <v>0</v>
      </c>
      <c r="G227" s="30">
        <f t="shared" si="35"/>
        <v>0</v>
      </c>
      <c r="H227" s="30">
        <f t="shared" si="35"/>
        <v>0</v>
      </c>
      <c r="I227" s="30">
        <f t="shared" si="35"/>
        <v>0</v>
      </c>
      <c r="J227" s="31">
        <f>SUM(D227:I227)</f>
        <v>10935.31</v>
      </c>
      <c r="K227" s="8"/>
      <c r="L227" s="8"/>
    </row>
    <row r="228" spans="1:12" ht="15.75" thickTop="1">
      <c r="A228" s="8"/>
      <c r="B228" s="8"/>
      <c r="C228" s="8"/>
      <c r="D228" s="20"/>
      <c r="E228" s="20"/>
      <c r="F228" s="15"/>
      <c r="G228" s="15"/>
      <c r="H228" s="15"/>
      <c r="I228" s="15"/>
      <c r="J228" s="20"/>
      <c r="K228" s="8"/>
      <c r="L228" s="8"/>
    </row>
    <row r="229" spans="1:12">
      <c r="A229" s="8"/>
      <c r="B229" s="8"/>
      <c r="C229" s="8"/>
      <c r="D229" s="20"/>
      <c r="E229" s="20"/>
      <c r="F229" s="15"/>
      <c r="G229" s="15"/>
      <c r="H229" s="15"/>
      <c r="I229" s="15"/>
      <c r="J229" s="20"/>
      <c r="K229" s="8"/>
      <c r="L229" s="8"/>
    </row>
    <row r="230" spans="1:12">
      <c r="A230" s="8">
        <v>57</v>
      </c>
      <c r="B230" s="8" t="s">
        <v>52</v>
      </c>
      <c r="C230" s="8" t="s">
        <v>12</v>
      </c>
      <c r="D230" s="20">
        <v>23591.75</v>
      </c>
      <c r="E230" s="20">
        <v>1218.49</v>
      </c>
      <c r="F230" s="15">
        <v>139.88</v>
      </c>
      <c r="G230" s="15">
        <v>51.43</v>
      </c>
      <c r="H230" s="15">
        <v>18.489999999999998</v>
      </c>
      <c r="I230" s="15"/>
      <c r="J230" s="20">
        <f>SUM(D230:I230)</f>
        <v>25020.040000000005</v>
      </c>
      <c r="K230" s="8"/>
      <c r="L230" s="8"/>
    </row>
    <row r="231" spans="1:12" ht="15.75" thickBot="1">
      <c r="A231" s="8"/>
      <c r="B231" s="8"/>
      <c r="C231" s="8" t="s">
        <v>13</v>
      </c>
      <c r="D231" s="29">
        <v>602.9</v>
      </c>
      <c r="E231" s="29">
        <v>29.7</v>
      </c>
      <c r="F231" s="28">
        <v>3.7</v>
      </c>
      <c r="G231" s="28">
        <v>1.28</v>
      </c>
      <c r="H231" s="28">
        <v>0.63</v>
      </c>
      <c r="I231" s="28"/>
      <c r="J231" s="29">
        <f>SUM(D231:I231)</f>
        <v>638.21</v>
      </c>
      <c r="K231" s="8"/>
      <c r="L231" s="8"/>
    </row>
    <row r="232" spans="1:12">
      <c r="A232" s="8"/>
      <c r="B232" s="8"/>
      <c r="C232" s="8"/>
      <c r="D232" s="20"/>
      <c r="E232" s="20"/>
      <c r="F232" s="15"/>
      <c r="G232" s="15"/>
      <c r="H232" s="15"/>
      <c r="I232" s="15"/>
      <c r="J232" s="20"/>
      <c r="K232" s="8"/>
      <c r="L232" s="8"/>
    </row>
    <row r="233" spans="1:12" ht="15.75" thickBot="1">
      <c r="A233" s="8"/>
      <c r="B233" s="8"/>
      <c r="C233" s="8" t="s">
        <v>10</v>
      </c>
      <c r="D233" s="31">
        <f t="shared" ref="D233:I233" si="36">SUM(D230:D231)</f>
        <v>24194.65</v>
      </c>
      <c r="E233" s="31">
        <f t="shared" si="36"/>
        <v>1248.19</v>
      </c>
      <c r="F233" s="30">
        <f t="shared" si="36"/>
        <v>143.57999999999998</v>
      </c>
      <c r="G233" s="30">
        <f t="shared" si="36"/>
        <v>52.71</v>
      </c>
      <c r="H233" s="30">
        <f t="shared" si="36"/>
        <v>19.119999999999997</v>
      </c>
      <c r="I233" s="30">
        <f t="shared" si="36"/>
        <v>0</v>
      </c>
      <c r="J233" s="31">
        <f>SUM(D233:I233)</f>
        <v>25658.25</v>
      </c>
      <c r="K233" s="8"/>
      <c r="L233" s="8"/>
    </row>
    <row r="234" spans="1:12" ht="15.75" thickTop="1">
      <c r="A234" s="8"/>
      <c r="B234" s="8"/>
      <c r="C234" s="8"/>
      <c r="D234" s="20"/>
      <c r="E234" s="20"/>
      <c r="F234" s="15"/>
      <c r="G234" s="15"/>
      <c r="H234" s="15"/>
      <c r="I234" s="15"/>
      <c r="J234" s="20"/>
      <c r="K234" s="8"/>
      <c r="L234" s="8"/>
    </row>
    <row r="235" spans="1:12">
      <c r="A235" s="8"/>
      <c r="B235" s="8"/>
      <c r="C235" s="8"/>
      <c r="D235" s="20"/>
      <c r="E235" s="20"/>
      <c r="F235" s="15"/>
      <c r="G235" s="15"/>
      <c r="H235" s="15"/>
      <c r="I235" s="15"/>
      <c r="J235" s="20"/>
      <c r="K235" s="8"/>
      <c r="L235" s="8"/>
    </row>
    <row r="236" spans="1:12">
      <c r="A236" s="8">
        <v>58</v>
      </c>
      <c r="B236" s="8" t="s">
        <v>53</v>
      </c>
      <c r="C236" s="8" t="s">
        <v>12</v>
      </c>
      <c r="D236" s="20">
        <v>8808.6200000000008</v>
      </c>
      <c r="E236" s="20">
        <v>138.34</v>
      </c>
      <c r="F236" s="15">
        <v>0</v>
      </c>
      <c r="G236" s="15">
        <v>0</v>
      </c>
      <c r="H236" s="15">
        <v>0</v>
      </c>
      <c r="I236" s="15">
        <v>0</v>
      </c>
      <c r="J236" s="20">
        <f>SUM(D236:I236)</f>
        <v>8946.9600000000009</v>
      </c>
      <c r="K236" s="8"/>
      <c r="L236" s="8"/>
    </row>
    <row r="237" spans="1:12" ht="15.75" thickBot="1">
      <c r="A237" s="8"/>
      <c r="B237" s="8"/>
      <c r="C237" s="8" t="s">
        <v>13</v>
      </c>
      <c r="D237" s="29"/>
      <c r="E237" s="29"/>
      <c r="F237" s="28"/>
      <c r="G237" s="28"/>
      <c r="H237" s="28"/>
      <c r="I237" s="28"/>
      <c r="J237" s="34">
        <v>0</v>
      </c>
      <c r="K237" s="8"/>
      <c r="L237" s="8"/>
    </row>
    <row r="238" spans="1:12">
      <c r="A238" s="8"/>
      <c r="B238" s="8"/>
      <c r="C238" s="8"/>
      <c r="D238" s="20"/>
      <c r="E238" s="20"/>
      <c r="F238" s="15"/>
      <c r="G238" s="15"/>
      <c r="H238" s="15"/>
      <c r="I238" s="15"/>
      <c r="J238" s="20"/>
      <c r="K238" s="8"/>
      <c r="L238" s="8"/>
    </row>
    <row r="239" spans="1:12" ht="15.75" thickBot="1">
      <c r="A239" s="8"/>
      <c r="B239" s="8"/>
      <c r="C239" s="8" t="s">
        <v>10</v>
      </c>
      <c r="D239" s="31">
        <f t="shared" ref="D239:I239" si="37">SUM(D236:D237)</f>
        <v>8808.6200000000008</v>
      </c>
      <c r="E239" s="31">
        <f t="shared" si="37"/>
        <v>138.34</v>
      </c>
      <c r="F239" s="30">
        <f t="shared" si="37"/>
        <v>0</v>
      </c>
      <c r="G239" s="30">
        <f t="shared" si="37"/>
        <v>0</v>
      </c>
      <c r="H239" s="30">
        <f t="shared" si="37"/>
        <v>0</v>
      </c>
      <c r="I239" s="30">
        <f t="shared" si="37"/>
        <v>0</v>
      </c>
      <c r="J239" s="31">
        <f>SUM(D239:I239)</f>
        <v>8946.9600000000009</v>
      </c>
      <c r="K239" s="8"/>
      <c r="L239" s="8"/>
    </row>
    <row r="240" spans="1:12" ht="15.75" thickTop="1">
      <c r="A240" s="8"/>
      <c r="B240" s="8"/>
      <c r="C240" s="8"/>
      <c r="D240" s="20"/>
      <c r="E240" s="20"/>
      <c r="F240" s="15"/>
      <c r="G240" s="15"/>
      <c r="H240" s="15"/>
      <c r="I240" s="15"/>
      <c r="J240" s="20"/>
      <c r="K240" s="8"/>
      <c r="L240" s="8"/>
    </row>
    <row r="241" spans="1:12">
      <c r="A241" s="8"/>
      <c r="B241" s="8"/>
      <c r="C241" s="8"/>
      <c r="D241" s="20"/>
      <c r="E241" s="20"/>
      <c r="F241" s="15"/>
      <c r="G241" s="15"/>
      <c r="H241" s="15"/>
      <c r="I241" s="15"/>
      <c r="J241" s="20"/>
      <c r="K241" s="8"/>
      <c r="L241" s="8"/>
    </row>
    <row r="242" spans="1:12">
      <c r="A242" s="8">
        <v>59</v>
      </c>
      <c r="B242" s="8" t="s">
        <v>54</v>
      </c>
      <c r="C242" s="8" t="s">
        <v>12</v>
      </c>
      <c r="D242" s="20">
        <f>16566.51+51.97</f>
        <v>16618.48</v>
      </c>
      <c r="E242" s="20">
        <v>476.11</v>
      </c>
      <c r="F242" s="15">
        <v>132.16999999999999</v>
      </c>
      <c r="G242" s="15">
        <v>63.77</v>
      </c>
      <c r="H242" s="15">
        <v>1.1100000000000001</v>
      </c>
      <c r="I242" s="15"/>
      <c r="J242" s="20">
        <f>SUM(D242:I242)</f>
        <v>17291.64</v>
      </c>
      <c r="K242" s="8"/>
      <c r="L242" s="8"/>
    </row>
    <row r="243" spans="1:12" ht="15.75" thickBot="1">
      <c r="A243" s="8"/>
      <c r="B243" s="8"/>
      <c r="C243" s="8" t="s">
        <v>35</v>
      </c>
      <c r="D243" s="29">
        <v>915.68</v>
      </c>
      <c r="E243" s="29">
        <v>20.28</v>
      </c>
      <c r="F243" s="28">
        <v>5.79</v>
      </c>
      <c r="G243" s="28">
        <v>3.96</v>
      </c>
      <c r="H243" s="28">
        <v>0.15</v>
      </c>
      <c r="I243" s="28"/>
      <c r="J243" s="29">
        <f>SUM(D243:I243)</f>
        <v>945.8599999999999</v>
      </c>
      <c r="K243" s="8"/>
      <c r="L243" s="8"/>
    </row>
    <row r="244" spans="1:12">
      <c r="A244" s="8"/>
      <c r="B244" s="8"/>
      <c r="C244" s="8"/>
      <c r="D244" s="20"/>
      <c r="E244" s="20"/>
      <c r="F244" s="15"/>
      <c r="G244" s="15"/>
      <c r="H244" s="15"/>
      <c r="I244" s="15"/>
      <c r="J244" s="20"/>
      <c r="K244" s="8"/>
      <c r="L244" s="8"/>
    </row>
    <row r="245" spans="1:12" ht="15.75" thickBot="1">
      <c r="A245" s="8"/>
      <c r="B245" s="8"/>
      <c r="C245" s="8" t="s">
        <v>10</v>
      </c>
      <c r="D245" s="31">
        <f t="shared" ref="D245:I245" si="38">SUM(D242:D243)</f>
        <v>17534.16</v>
      </c>
      <c r="E245" s="31">
        <f t="shared" si="38"/>
        <v>496.39</v>
      </c>
      <c r="F245" s="30">
        <f t="shared" si="38"/>
        <v>137.95999999999998</v>
      </c>
      <c r="G245" s="30">
        <f t="shared" si="38"/>
        <v>67.73</v>
      </c>
      <c r="H245" s="30">
        <f t="shared" si="38"/>
        <v>1.26</v>
      </c>
      <c r="I245" s="30">
        <f t="shared" si="38"/>
        <v>0</v>
      </c>
      <c r="J245" s="31">
        <f>SUM(D245:I245)</f>
        <v>18237.499999999996</v>
      </c>
      <c r="K245" s="8"/>
      <c r="L245" s="8"/>
    </row>
    <row r="246" spans="1:12" ht="15.75" thickTop="1">
      <c r="A246" s="8"/>
      <c r="B246" s="8"/>
      <c r="C246" s="8"/>
      <c r="D246" s="20"/>
      <c r="E246" s="20"/>
      <c r="F246" s="15"/>
      <c r="G246" s="15"/>
      <c r="H246" s="15"/>
      <c r="I246" s="15"/>
      <c r="J246" s="20"/>
      <c r="K246" s="8"/>
      <c r="L246" s="8"/>
    </row>
    <row r="247" spans="1:12">
      <c r="A247" s="8"/>
      <c r="B247" s="8"/>
      <c r="C247" s="8"/>
      <c r="D247" s="20"/>
      <c r="E247" s="20"/>
      <c r="F247" s="15"/>
      <c r="G247" s="15"/>
      <c r="H247" s="15"/>
      <c r="I247" s="15"/>
      <c r="J247" s="20"/>
      <c r="K247" s="8"/>
      <c r="L247" s="8"/>
    </row>
    <row r="248" spans="1:12" ht="15.75" thickBot="1">
      <c r="A248" s="8">
        <v>60</v>
      </c>
      <c r="B248" s="8" t="s">
        <v>55</v>
      </c>
      <c r="C248" s="8" t="s">
        <v>12</v>
      </c>
      <c r="D248" s="29">
        <v>57128.959999999999</v>
      </c>
      <c r="E248" s="29">
        <v>2046.86</v>
      </c>
      <c r="F248" s="28">
        <v>598.34</v>
      </c>
      <c r="G248" s="28">
        <v>87.12</v>
      </c>
      <c r="H248" s="28"/>
      <c r="I248" s="28"/>
      <c r="J248" s="29">
        <f>SUM(D248:I248)</f>
        <v>59861.279999999999</v>
      </c>
      <c r="K248" s="8"/>
      <c r="L248" s="8"/>
    </row>
    <row r="249" spans="1:12">
      <c r="A249" s="8"/>
      <c r="B249" s="8"/>
      <c r="C249" s="8"/>
      <c r="D249" s="20"/>
      <c r="E249" s="20"/>
      <c r="F249" s="15"/>
      <c r="G249" s="15"/>
      <c r="H249" s="15"/>
      <c r="I249" s="15"/>
      <c r="J249" s="20"/>
      <c r="K249" s="8"/>
      <c r="L249" s="8"/>
    </row>
    <row r="250" spans="1:12" ht="15.75" thickBot="1">
      <c r="A250" s="8"/>
      <c r="B250" s="8"/>
      <c r="C250" s="8" t="s">
        <v>10</v>
      </c>
      <c r="D250" s="31">
        <f t="shared" ref="D250:I250" si="39">SUM(D248:D249)</f>
        <v>57128.959999999999</v>
      </c>
      <c r="E250" s="31">
        <f t="shared" si="39"/>
        <v>2046.86</v>
      </c>
      <c r="F250" s="30">
        <f t="shared" si="39"/>
        <v>598.34</v>
      </c>
      <c r="G250" s="30">
        <f t="shared" si="39"/>
        <v>87.12</v>
      </c>
      <c r="H250" s="30">
        <f t="shared" si="39"/>
        <v>0</v>
      </c>
      <c r="I250" s="30">
        <f t="shared" si="39"/>
        <v>0</v>
      </c>
      <c r="J250" s="31">
        <f>SUM(D250:I250)</f>
        <v>59861.279999999999</v>
      </c>
      <c r="K250" s="8"/>
      <c r="L250" s="8"/>
    </row>
    <row r="251" spans="1:12" ht="15.75" thickTop="1">
      <c r="A251" s="8"/>
      <c r="B251" s="8"/>
      <c r="C251" s="8"/>
      <c r="D251" s="20"/>
      <c r="E251" s="20"/>
      <c r="F251" s="15"/>
      <c r="G251" s="15"/>
      <c r="H251" s="15"/>
      <c r="I251" s="15"/>
      <c r="J251" s="20"/>
      <c r="K251" s="8"/>
      <c r="L251" s="8"/>
    </row>
    <row r="252" spans="1:12">
      <c r="A252" s="8"/>
      <c r="B252" s="8"/>
      <c r="C252" s="8"/>
      <c r="D252" s="20"/>
      <c r="E252" s="20"/>
      <c r="F252" s="15"/>
      <c r="G252" s="15"/>
      <c r="H252" s="15"/>
      <c r="I252" s="15"/>
      <c r="J252" s="20"/>
      <c r="K252" s="8"/>
      <c r="L252" s="8"/>
    </row>
    <row r="253" spans="1:12">
      <c r="A253" s="8">
        <v>61</v>
      </c>
      <c r="B253" s="8" t="s">
        <v>56</v>
      </c>
      <c r="C253" s="8" t="s">
        <v>12</v>
      </c>
      <c r="D253" s="20">
        <v>14246.95</v>
      </c>
      <c r="E253" s="20">
        <v>50.89</v>
      </c>
      <c r="F253" s="15"/>
      <c r="G253" s="15"/>
      <c r="H253" s="15"/>
      <c r="I253" s="15"/>
      <c r="J253" s="20">
        <f>SUM(D253:I253)</f>
        <v>14297.84</v>
      </c>
      <c r="K253" s="8"/>
      <c r="L253" s="8"/>
    </row>
    <row r="254" spans="1:12">
      <c r="A254" s="8"/>
      <c r="B254" s="8"/>
      <c r="C254" s="8" t="s">
        <v>13</v>
      </c>
      <c r="D254" s="20">
        <v>216.55</v>
      </c>
      <c r="E254" s="20">
        <v>0.93</v>
      </c>
      <c r="F254" s="15"/>
      <c r="G254" s="15"/>
      <c r="H254" s="15"/>
      <c r="I254" s="15"/>
      <c r="J254" s="20">
        <f>SUM(D254:I254)</f>
        <v>217.48000000000002</v>
      </c>
      <c r="K254" s="8"/>
      <c r="L254" s="8"/>
    </row>
    <row r="255" spans="1:12" ht="15.75" thickBot="1">
      <c r="A255" s="8"/>
      <c r="B255" s="8"/>
      <c r="C255" s="8" t="s">
        <v>99</v>
      </c>
      <c r="D255" s="29">
        <v>876.19</v>
      </c>
      <c r="E255" s="29">
        <v>3.17</v>
      </c>
      <c r="F255" s="28"/>
      <c r="G255" s="28"/>
      <c r="H255" s="28"/>
      <c r="I255" s="28"/>
      <c r="J255" s="29">
        <f>SUM(D255:I255)</f>
        <v>879.36</v>
      </c>
      <c r="K255" s="8"/>
      <c r="L255" s="8"/>
    </row>
    <row r="256" spans="1:12">
      <c r="A256" s="8"/>
      <c r="B256" s="8"/>
      <c r="C256" s="8"/>
      <c r="D256" s="20"/>
      <c r="E256" s="20"/>
      <c r="F256" s="15"/>
      <c r="G256" s="15"/>
      <c r="H256" s="15"/>
      <c r="I256" s="15"/>
      <c r="J256" s="20"/>
      <c r="K256" s="8"/>
      <c r="L256" s="8"/>
    </row>
    <row r="257" spans="1:12" ht="15.75" thickBot="1">
      <c r="A257" s="8"/>
      <c r="B257" s="8"/>
      <c r="C257" s="8" t="s">
        <v>10</v>
      </c>
      <c r="D257" s="31">
        <f>SUM(D253:D255)</f>
        <v>15339.69</v>
      </c>
      <c r="E257" s="31">
        <f t="shared" ref="E257:J257" si="40">SUM(E253:E255)</f>
        <v>54.99</v>
      </c>
      <c r="F257" s="30">
        <f t="shared" si="40"/>
        <v>0</v>
      </c>
      <c r="G257" s="30">
        <f t="shared" si="40"/>
        <v>0</v>
      </c>
      <c r="H257" s="30">
        <f t="shared" si="40"/>
        <v>0</v>
      </c>
      <c r="I257" s="30">
        <f t="shared" si="40"/>
        <v>0</v>
      </c>
      <c r="J257" s="30">
        <f t="shared" si="40"/>
        <v>15394.68</v>
      </c>
      <c r="K257" s="8"/>
      <c r="L257" s="8"/>
    </row>
    <row r="258" spans="1:12" ht="15.75" thickTop="1">
      <c r="A258" s="8"/>
      <c r="B258" s="8"/>
      <c r="C258" s="8"/>
      <c r="D258" s="20"/>
      <c r="E258" s="20"/>
      <c r="F258" s="15"/>
      <c r="G258" s="15"/>
      <c r="H258" s="15"/>
      <c r="I258" s="15"/>
      <c r="J258" s="20"/>
      <c r="K258" s="8"/>
      <c r="L258" s="8"/>
    </row>
    <row r="259" spans="1:12">
      <c r="A259" s="8"/>
      <c r="B259" s="8"/>
      <c r="C259" s="8"/>
      <c r="D259" s="20"/>
      <c r="E259" s="20"/>
      <c r="F259" s="15"/>
      <c r="G259" s="15"/>
      <c r="H259" s="15"/>
      <c r="I259" s="15"/>
      <c r="J259" s="20"/>
      <c r="K259" s="8"/>
      <c r="L259" s="8"/>
    </row>
    <row r="260" spans="1:12">
      <c r="A260" s="8">
        <v>62</v>
      </c>
      <c r="B260" s="8" t="s">
        <v>57</v>
      </c>
      <c r="C260" s="8" t="s">
        <v>12</v>
      </c>
      <c r="D260" s="20">
        <v>5007.4799999999996</v>
      </c>
      <c r="E260" s="20">
        <v>27.84</v>
      </c>
      <c r="F260" s="15"/>
      <c r="G260" s="15"/>
      <c r="H260" s="15"/>
      <c r="I260" s="15"/>
      <c r="J260" s="20">
        <f>SUM(D260:I260)</f>
        <v>5035.32</v>
      </c>
      <c r="K260" s="8"/>
      <c r="L260" s="8"/>
    </row>
    <row r="261" spans="1:12" ht="15.75" thickBot="1">
      <c r="A261" s="8"/>
      <c r="B261" s="8"/>
      <c r="C261" s="8" t="s">
        <v>13</v>
      </c>
      <c r="D261" s="29">
        <v>101.51</v>
      </c>
      <c r="E261" s="29">
        <v>0.67</v>
      </c>
      <c r="F261" s="28"/>
      <c r="G261" s="28"/>
      <c r="H261" s="28"/>
      <c r="I261" s="28"/>
      <c r="J261" s="29">
        <f>SUM(D261:I261)</f>
        <v>102.18</v>
      </c>
      <c r="K261" s="8"/>
      <c r="L261" s="8"/>
    </row>
    <row r="262" spans="1:12">
      <c r="A262" s="8"/>
      <c r="B262" s="8"/>
      <c r="C262" s="8"/>
      <c r="D262" s="20"/>
      <c r="E262" s="20"/>
      <c r="F262" s="15"/>
      <c r="G262" s="15"/>
      <c r="H262" s="15"/>
      <c r="I262" s="15"/>
      <c r="J262" s="20"/>
      <c r="K262" s="8"/>
      <c r="L262" s="8"/>
    </row>
    <row r="263" spans="1:12" ht="15.75" thickBot="1">
      <c r="A263" s="8"/>
      <c r="B263" s="8"/>
      <c r="C263" s="8" t="s">
        <v>10</v>
      </c>
      <c r="D263" s="31">
        <f t="shared" ref="D263:I263" si="41">SUM(D260:D261)</f>
        <v>5108.99</v>
      </c>
      <c r="E263" s="31">
        <f t="shared" si="41"/>
        <v>28.51</v>
      </c>
      <c r="F263" s="30">
        <f t="shared" si="41"/>
        <v>0</v>
      </c>
      <c r="G263" s="30">
        <f t="shared" si="41"/>
        <v>0</v>
      </c>
      <c r="H263" s="30">
        <f t="shared" si="41"/>
        <v>0</v>
      </c>
      <c r="I263" s="30">
        <f t="shared" si="41"/>
        <v>0</v>
      </c>
      <c r="J263" s="31">
        <f>SUM(D263:I263)</f>
        <v>5137.5</v>
      </c>
      <c r="K263" s="8"/>
      <c r="L263" s="8"/>
    </row>
    <row r="264" spans="1:12" ht="15.75" thickTop="1">
      <c r="A264" s="8"/>
      <c r="B264" s="8"/>
      <c r="C264" s="8"/>
      <c r="D264" s="20"/>
      <c r="E264" s="20"/>
      <c r="F264" s="15"/>
      <c r="G264" s="15"/>
      <c r="H264" s="15"/>
      <c r="I264" s="15"/>
      <c r="J264" s="20"/>
      <c r="K264" s="8"/>
      <c r="L264" s="8"/>
    </row>
    <row r="265" spans="1:12">
      <c r="A265" s="8"/>
      <c r="B265" s="8"/>
      <c r="C265" s="8"/>
      <c r="D265" s="20"/>
      <c r="E265" s="20"/>
      <c r="F265" s="15"/>
      <c r="G265" s="15"/>
      <c r="H265" s="15"/>
      <c r="I265" s="15"/>
      <c r="J265" s="20"/>
      <c r="K265" s="8"/>
      <c r="L265" s="8"/>
    </row>
    <row r="266" spans="1:12">
      <c r="A266" s="8">
        <v>63</v>
      </c>
      <c r="B266" s="8" t="s">
        <v>58</v>
      </c>
      <c r="C266" s="8" t="s">
        <v>12</v>
      </c>
      <c r="D266" s="20">
        <v>12420.25</v>
      </c>
      <c r="E266" s="20">
        <v>330.21</v>
      </c>
      <c r="F266" s="15">
        <v>46.4</v>
      </c>
      <c r="G266" s="15"/>
      <c r="H266" s="15"/>
      <c r="I266" s="15"/>
      <c r="J266" s="20">
        <f>SUM(D266:I266)</f>
        <v>12796.859999999999</v>
      </c>
      <c r="K266" s="8"/>
      <c r="L266" s="8"/>
    </row>
    <row r="267" spans="1:12" ht="15.75" thickBot="1">
      <c r="A267" s="8"/>
      <c r="B267" s="8"/>
      <c r="C267" s="8" t="s">
        <v>13</v>
      </c>
      <c r="D267" s="29">
        <v>490.15</v>
      </c>
      <c r="E267" s="29">
        <v>13.12</v>
      </c>
      <c r="F267" s="28">
        <v>1.87</v>
      </c>
      <c r="G267" s="28"/>
      <c r="H267" s="28"/>
      <c r="I267" s="28"/>
      <c r="J267" s="29">
        <f>SUM(D267:I267)</f>
        <v>505.14</v>
      </c>
      <c r="K267" s="8"/>
      <c r="L267" s="8"/>
    </row>
    <row r="268" spans="1:12">
      <c r="A268" s="8"/>
      <c r="B268" s="8"/>
      <c r="C268" s="8"/>
      <c r="D268" s="20"/>
      <c r="E268" s="20"/>
      <c r="F268" s="15"/>
      <c r="G268" s="15"/>
      <c r="H268" s="15"/>
      <c r="I268" s="15"/>
      <c r="J268" s="20"/>
      <c r="K268" s="8"/>
      <c r="L268" s="8"/>
    </row>
    <row r="269" spans="1:12" ht="15.75" thickBot="1">
      <c r="A269" s="8"/>
      <c r="B269" s="8"/>
      <c r="C269" s="8" t="s">
        <v>10</v>
      </c>
      <c r="D269" s="31">
        <f t="shared" ref="D269:I269" si="42">SUM(D266:D267)</f>
        <v>12910.4</v>
      </c>
      <c r="E269" s="31">
        <f t="shared" si="42"/>
        <v>343.33</v>
      </c>
      <c r="F269" s="30">
        <f t="shared" si="42"/>
        <v>48.269999999999996</v>
      </c>
      <c r="G269" s="30">
        <f t="shared" si="42"/>
        <v>0</v>
      </c>
      <c r="H269" s="30">
        <f t="shared" si="42"/>
        <v>0</v>
      </c>
      <c r="I269" s="30">
        <f t="shared" si="42"/>
        <v>0</v>
      </c>
      <c r="J269" s="31">
        <f>SUM(D269:I269)</f>
        <v>13302</v>
      </c>
      <c r="K269" s="8"/>
      <c r="L269" s="8"/>
    </row>
    <row r="270" spans="1:12" ht="15.75" thickTop="1">
      <c r="A270" s="8"/>
      <c r="B270" s="8"/>
      <c r="C270" s="8"/>
      <c r="D270" s="20"/>
      <c r="E270" s="20"/>
      <c r="F270" s="15"/>
      <c r="G270" s="15"/>
      <c r="H270" s="15"/>
      <c r="I270" s="15"/>
      <c r="J270" s="20"/>
      <c r="K270" s="8"/>
      <c r="L270" s="8"/>
    </row>
    <row r="271" spans="1:12">
      <c r="A271" s="8"/>
      <c r="B271" s="8"/>
      <c r="C271" s="8"/>
      <c r="D271" s="20"/>
      <c r="E271" s="20"/>
      <c r="F271" s="15"/>
      <c r="G271" s="15"/>
      <c r="H271" s="15"/>
      <c r="I271" s="15"/>
      <c r="J271" s="20"/>
      <c r="K271" s="8"/>
      <c r="L271" s="8"/>
    </row>
    <row r="272" spans="1:12" ht="15.75" thickBot="1">
      <c r="A272" s="8">
        <v>64</v>
      </c>
      <c r="B272" s="8" t="s">
        <v>59</v>
      </c>
      <c r="C272" s="8" t="s">
        <v>12</v>
      </c>
      <c r="D272" s="29">
        <v>78346.97</v>
      </c>
      <c r="E272" s="29">
        <v>1074.52</v>
      </c>
      <c r="F272" s="28">
        <v>594.99</v>
      </c>
      <c r="G272" s="28">
        <v>307.14</v>
      </c>
      <c r="H272" s="28">
        <v>246.18</v>
      </c>
      <c r="I272" s="28">
        <v>0</v>
      </c>
      <c r="J272" s="29">
        <f>SUM(D272:I272)</f>
        <v>80569.8</v>
      </c>
      <c r="K272" s="8"/>
      <c r="L272" s="8"/>
    </row>
    <row r="273" spans="1:12">
      <c r="A273" s="8"/>
      <c r="B273" s="8"/>
      <c r="C273" s="8"/>
      <c r="D273" s="20"/>
      <c r="E273" s="20"/>
      <c r="F273" s="15"/>
      <c r="G273" s="15"/>
      <c r="H273" s="15"/>
      <c r="I273" s="15"/>
      <c r="J273" s="20"/>
      <c r="K273" s="8"/>
      <c r="L273" s="8"/>
    </row>
    <row r="274" spans="1:12" ht="15.75" thickBot="1">
      <c r="A274" s="8"/>
      <c r="B274" s="8"/>
      <c r="C274" s="8" t="s">
        <v>10</v>
      </c>
      <c r="D274" s="31">
        <f t="shared" ref="D274:I274" si="43">SUM(D272:D273)</f>
        <v>78346.97</v>
      </c>
      <c r="E274" s="31">
        <f t="shared" si="43"/>
        <v>1074.52</v>
      </c>
      <c r="F274" s="30">
        <f t="shared" si="43"/>
        <v>594.99</v>
      </c>
      <c r="G274" s="30">
        <f t="shared" si="43"/>
        <v>307.14</v>
      </c>
      <c r="H274" s="30">
        <f t="shared" si="43"/>
        <v>246.18</v>
      </c>
      <c r="I274" s="30">
        <f t="shared" si="43"/>
        <v>0</v>
      </c>
      <c r="J274" s="31">
        <f>SUM(D274:I274)</f>
        <v>80569.8</v>
      </c>
      <c r="K274" s="8"/>
      <c r="L274" s="8"/>
    </row>
    <row r="275" spans="1:12" ht="15.75" thickTop="1">
      <c r="A275" s="8"/>
      <c r="B275" s="8"/>
      <c r="C275" s="8"/>
      <c r="D275" s="20"/>
      <c r="E275" s="20"/>
      <c r="F275" s="15"/>
      <c r="G275" s="15"/>
      <c r="H275" s="15"/>
      <c r="I275" s="15"/>
      <c r="J275" s="20"/>
      <c r="K275" s="8"/>
      <c r="L275" s="8"/>
    </row>
    <row r="276" spans="1:12">
      <c r="A276" s="8"/>
      <c r="B276" s="12"/>
      <c r="C276" s="12"/>
      <c r="D276" s="36"/>
      <c r="E276" s="36"/>
      <c r="F276" s="16"/>
      <c r="G276" s="13"/>
      <c r="H276" s="13"/>
      <c r="I276" s="13"/>
      <c r="J276" s="20"/>
      <c r="K276" s="8"/>
      <c r="L276" s="8"/>
    </row>
    <row r="277" spans="1:12">
      <c r="A277" s="8">
        <v>65</v>
      </c>
      <c r="B277" s="8" t="s">
        <v>60</v>
      </c>
      <c r="C277" s="8" t="s">
        <v>12</v>
      </c>
      <c r="D277" s="20">
        <v>8145.45</v>
      </c>
      <c r="E277" s="20">
        <v>0.27</v>
      </c>
      <c r="F277" s="15">
        <v>0</v>
      </c>
      <c r="G277" s="15">
        <v>0</v>
      </c>
      <c r="H277" s="15">
        <v>0</v>
      </c>
      <c r="I277" s="15">
        <v>0</v>
      </c>
      <c r="J277" s="20">
        <f>SUM(D277:I277)</f>
        <v>8145.72</v>
      </c>
      <c r="K277" s="8"/>
      <c r="L277" s="8"/>
    </row>
    <row r="278" spans="1:12" ht="15.75" thickBot="1">
      <c r="A278" s="8"/>
      <c r="B278" s="8"/>
      <c r="C278" s="8" t="s">
        <v>13</v>
      </c>
      <c r="D278" s="29"/>
      <c r="E278" s="29"/>
      <c r="F278" s="28"/>
      <c r="G278" s="28"/>
      <c r="H278" s="28"/>
      <c r="I278" s="28"/>
      <c r="J278" s="29"/>
      <c r="K278" s="8"/>
      <c r="L278" s="8"/>
    </row>
    <row r="279" spans="1:12">
      <c r="A279" s="8"/>
      <c r="B279" s="8"/>
      <c r="C279" s="8"/>
      <c r="D279" s="20"/>
      <c r="E279" s="20"/>
      <c r="F279" s="15"/>
      <c r="G279" s="15"/>
      <c r="H279" s="15"/>
      <c r="I279" s="15"/>
      <c r="J279" s="20"/>
      <c r="K279" s="8"/>
      <c r="L279" s="8"/>
    </row>
    <row r="280" spans="1:12" ht="15.75" thickBot="1">
      <c r="A280" s="8"/>
      <c r="B280" s="8"/>
      <c r="C280" s="8" t="s">
        <v>10</v>
      </c>
      <c r="D280" s="31">
        <f t="shared" ref="D280:I280" si="44">SUM(D277:D278)</f>
        <v>8145.45</v>
      </c>
      <c r="E280" s="31">
        <f t="shared" si="44"/>
        <v>0.27</v>
      </c>
      <c r="F280" s="30">
        <f t="shared" si="44"/>
        <v>0</v>
      </c>
      <c r="G280" s="30">
        <f t="shared" si="44"/>
        <v>0</v>
      </c>
      <c r="H280" s="30">
        <f t="shared" si="44"/>
        <v>0</v>
      </c>
      <c r="I280" s="30">
        <f t="shared" si="44"/>
        <v>0</v>
      </c>
      <c r="J280" s="31">
        <f>SUM(D280:I280)</f>
        <v>8145.72</v>
      </c>
      <c r="K280" s="8"/>
      <c r="L280" s="8"/>
    </row>
    <row r="281" spans="1:12" ht="15.75" thickTop="1">
      <c r="A281" s="8"/>
      <c r="B281" s="8"/>
      <c r="C281" s="8"/>
      <c r="D281" s="20"/>
      <c r="E281" s="20"/>
      <c r="F281" s="15"/>
      <c r="G281" s="15"/>
      <c r="H281" s="15"/>
      <c r="I281" s="15"/>
      <c r="J281" s="20"/>
      <c r="K281" s="8"/>
      <c r="L281" s="8"/>
    </row>
    <row r="282" spans="1:12">
      <c r="A282" s="8"/>
      <c r="B282" s="8"/>
      <c r="C282" s="8"/>
      <c r="D282" s="20"/>
      <c r="E282" s="20"/>
      <c r="F282" s="15"/>
      <c r="G282" s="15"/>
      <c r="H282" s="15"/>
      <c r="I282" s="15"/>
      <c r="J282" s="20"/>
      <c r="K282" s="8"/>
      <c r="L282" s="8"/>
    </row>
    <row r="283" spans="1:12">
      <c r="A283" s="8">
        <v>66</v>
      </c>
      <c r="B283" s="8" t="s">
        <v>61</v>
      </c>
      <c r="C283" s="8" t="s">
        <v>12</v>
      </c>
      <c r="D283" s="20">
        <v>9881.68</v>
      </c>
      <c r="E283" s="20">
        <v>653.47</v>
      </c>
      <c r="F283" s="15">
        <v>476.25</v>
      </c>
      <c r="G283" s="15">
        <v>378.54</v>
      </c>
      <c r="H283" s="15"/>
      <c r="I283" s="15"/>
      <c r="J283" s="20">
        <f>SUM(D283:I283)</f>
        <v>11389.94</v>
      </c>
      <c r="K283" s="8"/>
      <c r="L283" s="8"/>
    </row>
    <row r="284" spans="1:12">
      <c r="A284" s="8"/>
      <c r="B284" s="8"/>
      <c r="C284" s="8" t="s">
        <v>13</v>
      </c>
      <c r="D284" s="20"/>
      <c r="E284" s="20"/>
      <c r="F284" s="15"/>
      <c r="G284" s="15"/>
      <c r="H284" s="15"/>
      <c r="I284" s="15"/>
      <c r="J284" s="35">
        <f>SUM(D284:I284)</f>
        <v>0</v>
      </c>
      <c r="K284" s="8"/>
      <c r="L284" s="8"/>
    </row>
    <row r="285" spans="1:12" ht="15.75" thickBot="1">
      <c r="A285" s="8"/>
      <c r="B285" s="8"/>
      <c r="C285" s="8" t="s">
        <v>73</v>
      </c>
      <c r="D285" s="29">
        <v>660.87</v>
      </c>
      <c r="E285" s="29">
        <v>43.62</v>
      </c>
      <c r="F285" s="28">
        <v>31.63</v>
      </c>
      <c r="G285" s="27">
        <v>25.38</v>
      </c>
      <c r="H285" s="27"/>
      <c r="I285" s="27"/>
      <c r="J285" s="29">
        <f>SUM(D285:I285)</f>
        <v>761.5</v>
      </c>
      <c r="K285" s="8"/>
      <c r="L285" s="8"/>
    </row>
    <row r="286" spans="1:12">
      <c r="A286" s="8"/>
      <c r="B286" s="8"/>
      <c r="C286" s="8"/>
      <c r="D286" s="20"/>
      <c r="E286" s="20"/>
      <c r="F286" s="15"/>
      <c r="G286" s="8"/>
      <c r="H286" s="8"/>
      <c r="I286" s="8"/>
      <c r="J286" s="20"/>
      <c r="K286" s="8"/>
      <c r="L286" s="8"/>
    </row>
    <row r="287" spans="1:12" ht="15.75" thickBot="1">
      <c r="A287" s="8"/>
      <c r="B287" s="8"/>
      <c r="C287" s="8" t="s">
        <v>10</v>
      </c>
      <c r="D287" s="31">
        <f t="shared" ref="D287:I287" si="45">SUM(D283:D285)</f>
        <v>10542.550000000001</v>
      </c>
      <c r="E287" s="31">
        <f t="shared" si="45"/>
        <v>697.09</v>
      </c>
      <c r="F287" s="30">
        <f t="shared" si="45"/>
        <v>507.88</v>
      </c>
      <c r="G287" s="30">
        <f t="shared" si="45"/>
        <v>403.92</v>
      </c>
      <c r="H287" s="30">
        <f t="shared" si="45"/>
        <v>0</v>
      </c>
      <c r="I287" s="30">
        <f t="shared" si="45"/>
        <v>0</v>
      </c>
      <c r="J287" s="31">
        <f>SUM(D287:I287)</f>
        <v>12151.44</v>
      </c>
      <c r="K287" s="8"/>
      <c r="L287" s="8"/>
    </row>
    <row r="288" spans="1:12" ht="15.75" thickTop="1">
      <c r="A288" s="8"/>
      <c r="B288" s="8"/>
      <c r="C288" s="8"/>
      <c r="D288" s="20"/>
      <c r="E288" s="20"/>
      <c r="F288" s="15"/>
      <c r="G288" s="15"/>
      <c r="H288" s="15"/>
      <c r="I288" s="15"/>
      <c r="J288" s="20"/>
      <c r="K288" s="8"/>
      <c r="L288" s="8"/>
    </row>
    <row r="289" spans="1:12">
      <c r="A289" s="8"/>
      <c r="B289" s="8"/>
      <c r="C289" s="8"/>
      <c r="D289" s="20"/>
      <c r="E289" s="20"/>
      <c r="F289" s="15"/>
      <c r="G289" s="15"/>
      <c r="H289" s="15"/>
      <c r="I289" s="15"/>
      <c r="J289" s="20"/>
      <c r="K289" s="8"/>
      <c r="L289" s="8"/>
    </row>
    <row r="290" spans="1:12">
      <c r="A290" s="8">
        <v>67</v>
      </c>
      <c r="B290" s="8" t="s">
        <v>62</v>
      </c>
      <c r="C290" s="8" t="s">
        <v>12</v>
      </c>
      <c r="D290" s="20">
        <v>11167.85</v>
      </c>
      <c r="E290" s="20">
        <v>461.68</v>
      </c>
      <c r="F290" s="15">
        <v>98.84</v>
      </c>
      <c r="G290" s="15"/>
      <c r="H290" s="15"/>
      <c r="I290" s="15"/>
      <c r="J290" s="20">
        <f>SUM(D290:I290)</f>
        <v>11728.37</v>
      </c>
      <c r="K290" s="8"/>
      <c r="L290" s="8"/>
    </row>
    <row r="291" spans="1:12" ht="15.75" thickBot="1">
      <c r="A291" s="8"/>
      <c r="B291" s="8"/>
      <c r="C291" s="8" t="s">
        <v>13</v>
      </c>
      <c r="D291" s="29">
        <v>285.26</v>
      </c>
      <c r="E291" s="29">
        <v>11.33</v>
      </c>
      <c r="F291" s="28">
        <v>2.56</v>
      </c>
      <c r="G291" s="28"/>
      <c r="H291" s="28"/>
      <c r="I291" s="28"/>
      <c r="J291" s="29">
        <f>SUM(D291:I291)</f>
        <v>299.14999999999998</v>
      </c>
      <c r="K291" s="8"/>
      <c r="L291" s="8"/>
    </row>
    <row r="292" spans="1:12">
      <c r="A292" s="8"/>
      <c r="B292" s="8"/>
      <c r="C292" s="8"/>
      <c r="D292" s="20"/>
      <c r="E292" s="20"/>
      <c r="F292" s="15"/>
      <c r="G292" s="15"/>
      <c r="H292" s="15"/>
      <c r="I292" s="15"/>
      <c r="J292" s="20"/>
      <c r="K292" s="8"/>
      <c r="L292" s="8"/>
    </row>
    <row r="293" spans="1:12" ht="15.75" thickBot="1">
      <c r="A293" s="8"/>
      <c r="B293" s="8"/>
      <c r="C293" s="8" t="s">
        <v>10</v>
      </c>
      <c r="D293" s="31">
        <f t="shared" ref="D293:I293" si="46">SUM(D290:D291)</f>
        <v>11453.11</v>
      </c>
      <c r="E293" s="31">
        <f t="shared" si="46"/>
        <v>473.01</v>
      </c>
      <c r="F293" s="30">
        <f t="shared" si="46"/>
        <v>101.4</v>
      </c>
      <c r="G293" s="30">
        <f t="shared" si="46"/>
        <v>0</v>
      </c>
      <c r="H293" s="30">
        <f t="shared" si="46"/>
        <v>0</v>
      </c>
      <c r="I293" s="30">
        <f t="shared" si="46"/>
        <v>0</v>
      </c>
      <c r="J293" s="31">
        <f>SUM(D293:I293)</f>
        <v>12027.52</v>
      </c>
      <c r="K293" s="8"/>
      <c r="L293" s="8"/>
    </row>
    <row r="294" spans="1:12" ht="15.75" thickTop="1">
      <c r="A294" s="8"/>
      <c r="B294" s="8"/>
      <c r="C294" s="8"/>
      <c r="D294" s="20"/>
      <c r="E294" s="20"/>
      <c r="F294" s="15"/>
      <c r="G294" s="15"/>
      <c r="H294" s="15"/>
      <c r="I294" s="15"/>
      <c r="J294" s="20"/>
      <c r="K294" s="8"/>
      <c r="L294" s="8"/>
    </row>
    <row r="295" spans="1:12">
      <c r="A295" s="8"/>
      <c r="B295" s="8"/>
      <c r="C295" s="8"/>
      <c r="D295" s="20"/>
      <c r="E295" s="20"/>
      <c r="F295" s="15"/>
      <c r="G295" s="15"/>
      <c r="H295" s="15"/>
      <c r="I295" s="15"/>
      <c r="J295" s="20"/>
      <c r="K295" s="8"/>
      <c r="L295" s="8"/>
    </row>
    <row r="296" spans="1:12">
      <c r="A296" s="8">
        <v>68</v>
      </c>
      <c r="B296" s="8" t="s">
        <v>63</v>
      </c>
      <c r="C296" s="8" t="s">
        <v>12</v>
      </c>
      <c r="D296" s="20">
        <v>7408.16</v>
      </c>
      <c r="E296" s="20">
        <v>6.05</v>
      </c>
      <c r="F296" s="15">
        <v>0</v>
      </c>
      <c r="G296" s="15">
        <v>0</v>
      </c>
      <c r="H296" s="15">
        <v>0</v>
      </c>
      <c r="I296" s="15">
        <v>0</v>
      </c>
      <c r="J296" s="20">
        <f>SUM(D296:I296)</f>
        <v>7414.21</v>
      </c>
      <c r="K296" s="8"/>
      <c r="L296" s="8"/>
    </row>
    <row r="297" spans="1:12" ht="15.75" thickBot="1">
      <c r="A297" s="8"/>
      <c r="B297" s="8"/>
      <c r="C297" s="8" t="s">
        <v>13</v>
      </c>
      <c r="D297" s="29"/>
      <c r="E297" s="29"/>
      <c r="F297" s="28"/>
      <c r="G297" s="28"/>
      <c r="H297" s="28"/>
      <c r="I297" s="28"/>
      <c r="J297" s="29"/>
      <c r="K297" s="8"/>
      <c r="L297" s="8"/>
    </row>
    <row r="298" spans="1:12">
      <c r="A298" s="8"/>
      <c r="B298" s="8"/>
      <c r="C298" s="8"/>
      <c r="D298" s="20"/>
      <c r="E298" s="20"/>
      <c r="F298" s="15"/>
      <c r="G298" s="15"/>
      <c r="H298" s="15"/>
      <c r="I298" s="15"/>
      <c r="J298" s="20"/>
      <c r="K298" s="8"/>
      <c r="L298" s="8"/>
    </row>
    <row r="299" spans="1:12" ht="15.75" thickBot="1">
      <c r="A299" s="8"/>
      <c r="B299" s="8"/>
      <c r="C299" s="8" t="s">
        <v>10</v>
      </c>
      <c r="D299" s="31">
        <f t="shared" ref="D299:I299" si="47">SUM(D296:D297)</f>
        <v>7408.16</v>
      </c>
      <c r="E299" s="31">
        <f t="shared" si="47"/>
        <v>6.05</v>
      </c>
      <c r="F299" s="30">
        <f t="shared" si="47"/>
        <v>0</v>
      </c>
      <c r="G299" s="30">
        <f t="shared" si="47"/>
        <v>0</v>
      </c>
      <c r="H299" s="30">
        <f t="shared" si="47"/>
        <v>0</v>
      </c>
      <c r="I299" s="30">
        <f t="shared" si="47"/>
        <v>0</v>
      </c>
      <c r="J299" s="31">
        <f>SUM(D299:I299)</f>
        <v>7414.21</v>
      </c>
      <c r="K299" s="8"/>
      <c r="L299" s="8"/>
    </row>
    <row r="300" spans="1:12" ht="15.75" thickTop="1">
      <c r="A300" s="8"/>
      <c r="B300" s="8"/>
      <c r="C300" s="8"/>
      <c r="D300" s="20"/>
      <c r="E300" s="20"/>
      <c r="F300" s="15"/>
      <c r="G300" s="15"/>
      <c r="H300" s="15"/>
      <c r="I300" s="15"/>
      <c r="J300" s="20"/>
      <c r="K300" s="8"/>
      <c r="L300" s="8"/>
    </row>
    <row r="301" spans="1:12">
      <c r="A301" s="8"/>
      <c r="B301" s="8"/>
      <c r="C301" s="8"/>
      <c r="D301" s="20"/>
      <c r="E301" s="20"/>
      <c r="F301" s="15"/>
      <c r="G301" s="15"/>
      <c r="H301" s="15"/>
      <c r="I301" s="15"/>
      <c r="J301" s="20"/>
      <c r="K301" s="8"/>
      <c r="L301" s="8"/>
    </row>
    <row r="302" spans="1:12">
      <c r="A302" s="8">
        <v>69</v>
      </c>
      <c r="B302" s="8" t="s">
        <v>64</v>
      </c>
      <c r="C302" s="8" t="s">
        <v>12</v>
      </c>
      <c r="D302" s="20">
        <v>8392.83</v>
      </c>
      <c r="E302" s="20">
        <v>12.69</v>
      </c>
      <c r="F302" s="15">
        <v>0.53</v>
      </c>
      <c r="G302" s="15">
        <v>0</v>
      </c>
      <c r="H302" s="15">
        <v>0</v>
      </c>
      <c r="I302" s="15">
        <v>0</v>
      </c>
      <c r="J302" s="20">
        <f>SUM(D302:I302)</f>
        <v>8406.0500000000011</v>
      </c>
      <c r="K302" s="8"/>
      <c r="L302" s="8"/>
    </row>
    <row r="303" spans="1:12" ht="15.75" thickBot="1">
      <c r="A303" s="8"/>
      <c r="B303" s="8"/>
      <c r="C303" s="8" t="s">
        <v>13</v>
      </c>
      <c r="D303" s="29"/>
      <c r="E303" s="29"/>
      <c r="F303" s="28"/>
      <c r="G303" s="28"/>
      <c r="H303" s="28"/>
      <c r="I303" s="28"/>
      <c r="J303" s="34">
        <v>0</v>
      </c>
      <c r="K303" s="8"/>
      <c r="L303" s="8"/>
    </row>
    <row r="304" spans="1:12">
      <c r="A304" s="8"/>
      <c r="B304" s="8"/>
      <c r="C304" s="8"/>
      <c r="D304" s="20"/>
      <c r="E304" s="20"/>
      <c r="F304" s="15"/>
      <c r="G304" s="15"/>
      <c r="H304" s="15"/>
      <c r="I304" s="15"/>
      <c r="J304" s="20"/>
      <c r="K304" s="8"/>
      <c r="L304" s="8"/>
    </row>
    <row r="305" spans="1:12" ht="15.75" thickBot="1">
      <c r="A305" s="8"/>
      <c r="B305" s="8"/>
      <c r="C305" s="8" t="s">
        <v>10</v>
      </c>
      <c r="D305" s="31">
        <f t="shared" ref="D305:I305" si="48">SUM(D302:D303)</f>
        <v>8392.83</v>
      </c>
      <c r="E305" s="31">
        <f t="shared" si="48"/>
        <v>12.69</v>
      </c>
      <c r="F305" s="30">
        <f t="shared" si="48"/>
        <v>0.53</v>
      </c>
      <c r="G305" s="30">
        <f t="shared" si="48"/>
        <v>0</v>
      </c>
      <c r="H305" s="30">
        <f t="shared" si="48"/>
        <v>0</v>
      </c>
      <c r="I305" s="30">
        <f t="shared" si="48"/>
        <v>0</v>
      </c>
      <c r="J305" s="31">
        <f>SUM(D305:I305)</f>
        <v>8406.0500000000011</v>
      </c>
      <c r="K305" s="8"/>
      <c r="L305" s="8"/>
    </row>
    <row r="306" spans="1:12" ht="15.75" thickTop="1">
      <c r="A306" s="8"/>
      <c r="B306" s="8"/>
      <c r="C306" s="8"/>
      <c r="D306" s="20"/>
      <c r="E306" s="20"/>
      <c r="F306" s="15"/>
      <c r="G306" s="15"/>
      <c r="H306" s="15"/>
      <c r="I306" s="15"/>
      <c r="J306" s="20"/>
      <c r="K306" s="8"/>
      <c r="L306" s="8"/>
    </row>
    <row r="307" spans="1:12">
      <c r="A307" s="8"/>
      <c r="B307" s="8"/>
      <c r="C307" s="8"/>
      <c r="D307" s="20"/>
      <c r="E307" s="20"/>
      <c r="F307" s="15"/>
      <c r="G307" s="15"/>
      <c r="H307" s="15"/>
      <c r="I307" s="15"/>
      <c r="J307" s="20"/>
      <c r="K307" s="8"/>
      <c r="L307" s="8"/>
    </row>
    <row r="308" spans="1:12">
      <c r="A308" s="8">
        <v>70</v>
      </c>
      <c r="B308" s="8" t="s">
        <v>65</v>
      </c>
      <c r="C308" s="8" t="s">
        <v>12</v>
      </c>
      <c r="D308" s="20">
        <v>8392.52</v>
      </c>
      <c r="E308" s="20">
        <v>105.57</v>
      </c>
      <c r="F308" s="15">
        <v>65.91</v>
      </c>
      <c r="G308" s="15">
        <v>0</v>
      </c>
      <c r="H308" s="15">
        <v>0</v>
      </c>
      <c r="I308" s="15">
        <v>0</v>
      </c>
      <c r="J308" s="20">
        <f>SUM(D308:I308)</f>
        <v>8564</v>
      </c>
      <c r="K308" s="8"/>
      <c r="L308" s="8"/>
    </row>
    <row r="309" spans="1:12" ht="15.75" thickBot="1">
      <c r="A309" s="8"/>
      <c r="B309" s="8"/>
      <c r="C309" s="8" t="s">
        <v>78</v>
      </c>
      <c r="D309" s="29"/>
      <c r="E309" s="29"/>
      <c r="F309" s="28"/>
      <c r="G309" s="28"/>
      <c r="H309" s="28"/>
      <c r="I309" s="28"/>
      <c r="J309" s="29">
        <f>SUM(D309:I309)</f>
        <v>0</v>
      </c>
      <c r="K309" s="8"/>
      <c r="L309" s="8"/>
    </row>
    <row r="310" spans="1:12">
      <c r="A310" s="8"/>
      <c r="B310" s="8"/>
      <c r="C310" s="8"/>
      <c r="D310" s="20"/>
      <c r="E310" s="20"/>
      <c r="F310" s="15"/>
      <c r="G310" s="15"/>
      <c r="H310" s="15"/>
      <c r="I310" s="15"/>
      <c r="J310" s="20"/>
      <c r="K310" s="8"/>
      <c r="L310" s="8"/>
    </row>
    <row r="311" spans="1:12" ht="15.75" thickBot="1">
      <c r="A311" s="8"/>
      <c r="B311" s="8"/>
      <c r="C311" s="8" t="s">
        <v>10</v>
      </c>
      <c r="D311" s="31">
        <f t="shared" ref="D311:I311" si="49">SUM(D308:D310)</f>
        <v>8392.52</v>
      </c>
      <c r="E311" s="31">
        <f t="shared" si="49"/>
        <v>105.57</v>
      </c>
      <c r="F311" s="30">
        <f t="shared" si="49"/>
        <v>65.91</v>
      </c>
      <c r="G311" s="30">
        <f t="shared" si="49"/>
        <v>0</v>
      </c>
      <c r="H311" s="30">
        <f t="shared" si="49"/>
        <v>0</v>
      </c>
      <c r="I311" s="30">
        <f t="shared" si="49"/>
        <v>0</v>
      </c>
      <c r="J311" s="31">
        <f>SUM(D311:I311)</f>
        <v>8564</v>
      </c>
      <c r="K311" s="8"/>
      <c r="L311" s="8"/>
    </row>
    <row r="312" spans="1:12" ht="15.75" thickTop="1">
      <c r="A312" s="8"/>
      <c r="B312" s="8"/>
      <c r="C312" s="8"/>
      <c r="D312" s="20"/>
      <c r="E312" s="20"/>
      <c r="F312" s="15"/>
      <c r="G312" s="15"/>
      <c r="H312" s="15"/>
      <c r="I312" s="15"/>
      <c r="J312" s="20"/>
      <c r="K312" s="8"/>
      <c r="L312" s="8"/>
    </row>
    <row r="313" spans="1:12">
      <c r="A313" s="8"/>
      <c r="B313" s="8"/>
      <c r="C313" s="8" t="s">
        <v>66</v>
      </c>
      <c r="D313" s="20">
        <f t="shared" ref="D313:I313" si="50">SUM(D9:D311)/2</f>
        <v>629240.79999999993</v>
      </c>
      <c r="E313" s="20">
        <f t="shared" si="50"/>
        <v>14905.659999999994</v>
      </c>
      <c r="F313" s="15">
        <f t="shared" si="50"/>
        <v>4789.8999999999987</v>
      </c>
      <c r="G313" s="15">
        <f t="shared" si="50"/>
        <v>2514.5600000000004</v>
      </c>
      <c r="H313" s="15">
        <f t="shared" si="50"/>
        <v>1386.3400000000001</v>
      </c>
      <c r="I313" s="15">
        <f t="shared" si="50"/>
        <v>13.11</v>
      </c>
      <c r="J313" s="20">
        <f>SUM(D313:I313)</f>
        <v>652850.37</v>
      </c>
      <c r="K313" s="8"/>
      <c r="L313" s="8"/>
    </row>
    <row r="314" spans="1:12">
      <c r="A314" s="8"/>
      <c r="B314" s="8"/>
      <c r="C314" s="8"/>
      <c r="D314" s="20"/>
      <c r="E314" s="20"/>
      <c r="F314" s="15"/>
      <c r="G314" s="8"/>
      <c r="H314" s="8"/>
      <c r="I314" s="8"/>
      <c r="J314" s="20"/>
      <c r="K314" s="8"/>
      <c r="L314" s="8"/>
    </row>
    <row r="315" spans="1:12">
      <c r="A315" s="8"/>
      <c r="B315" s="8"/>
      <c r="C315" s="8"/>
      <c r="D315" s="20"/>
      <c r="E315" s="20"/>
      <c r="F315" s="8"/>
      <c r="G315" s="8"/>
      <c r="H315" s="8"/>
      <c r="I315" s="8"/>
      <c r="J315" s="20"/>
      <c r="K315" s="8"/>
      <c r="L315" s="8"/>
    </row>
  </sheetData>
  <pageMargins left="0.25" right="0.25" top="0.25" bottom="0.25" header="0.5" footer="0.5"/>
  <pageSetup scale="70" fitToHeight="50" orientation="landscape" r:id="rId1"/>
  <headerFooter alignWithMargins="0"/>
  <rowBreaks count="51" manualBreakCount="51">
    <brk id="7" max="65535" man="1"/>
    <brk id="13" max="16383" man="1"/>
    <brk id="19" max="16383" man="1"/>
    <brk id="25" max="16383" man="1"/>
    <brk id="31" max="16383" man="1"/>
    <brk id="37" max="16383" man="1"/>
    <brk id="44" max="16383" man="1"/>
    <brk id="49" max="65535" man="1"/>
    <brk id="57" max="16383" man="1"/>
    <brk id="65" max="16383" man="1"/>
    <brk id="71" max="16383" man="1"/>
    <brk id="77" max="16383" man="1"/>
    <brk id="85" max="16383" man="1"/>
    <brk id="91" max="16383" man="1"/>
    <brk id="99" max="16383" man="1"/>
    <brk id="104" max="16383" man="1"/>
    <brk id="110" max="16383" man="1"/>
    <brk id="115" max="16383" man="1"/>
    <brk id="123" max="16383" man="1"/>
    <brk id="127" max="9" man="1"/>
    <brk id="133" max="16383" man="1"/>
    <brk id="139" max="16383" man="1"/>
    <brk id="145" max="16383" man="1"/>
    <brk id="153" max="16383" man="1"/>
    <brk id="158" max="9" man="1"/>
    <brk id="163" max="16383" man="1"/>
    <brk id="168" max="16383" man="1"/>
    <brk id="173" max="16383" man="1"/>
    <brk id="178" max="16383" man="1"/>
    <brk id="183" max="16383" man="1"/>
    <brk id="189" max="16383" man="1"/>
    <brk id="196" max="16383" man="1"/>
    <brk id="202" max="16383" man="1"/>
    <brk id="210" max="16383" man="1"/>
    <brk id="216" max="16383" man="1"/>
    <brk id="222" max="16383" man="1"/>
    <brk id="228" max="16383" man="1"/>
    <brk id="234" max="16383" man="1"/>
    <brk id="240" max="16383" man="1"/>
    <brk id="246" max="16383" man="1"/>
    <brk id="251" max="16383" man="1"/>
    <brk id="258" max="16383" man="1"/>
    <brk id="264" max="16383" man="1"/>
    <brk id="270" max="16383" man="1"/>
    <brk id="275" max="16383" man="1"/>
    <brk id="281" max="16383" man="1"/>
    <brk id="288" max="16383" man="1"/>
    <brk id="294" max="16383" man="1"/>
    <brk id="300" max="16383" man="1"/>
    <brk id="306" max="16383" man="1"/>
    <brk id="31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/>
  </sheetPr>
  <dimension ref="A1:L317"/>
  <sheetViews>
    <sheetView showOutlineSymbols="0" defaultGridColor="0" view="pageBreakPreview" colorId="23" zoomScale="60" zoomScaleNormal="75" workbookViewId="0">
      <selection activeCell="J318" sqref="J318"/>
    </sheetView>
  </sheetViews>
  <sheetFormatPr defaultColWidth="9.6640625" defaultRowHeight="15"/>
  <cols>
    <col min="1" max="1" width="9.6640625" style="10" customWidth="1"/>
    <col min="2" max="2" width="27.44140625" style="10" bestFit="1" customWidth="1"/>
    <col min="3" max="3" width="24.44140625" style="10" bestFit="1" customWidth="1"/>
    <col min="4" max="5" width="12.77734375" style="23" customWidth="1"/>
    <col min="6" max="6" width="12.6640625" style="10" customWidth="1"/>
    <col min="7" max="8" width="11.6640625" style="10" customWidth="1"/>
    <col min="9" max="9" width="9.6640625" style="10" customWidth="1"/>
    <col min="10" max="10" width="14.44140625" style="23" customWidth="1"/>
    <col min="11" max="16384" width="9.6640625" style="10"/>
  </cols>
  <sheetData>
    <row r="1" spans="1:12">
      <c r="A1" s="8"/>
      <c r="B1" s="8"/>
      <c r="C1" s="8"/>
      <c r="D1" s="20"/>
      <c r="E1" s="20"/>
      <c r="F1" s="8"/>
      <c r="G1" s="8"/>
      <c r="H1" s="8"/>
      <c r="I1" s="9"/>
      <c r="J1" s="20"/>
      <c r="K1" s="8"/>
      <c r="L1" s="8"/>
    </row>
    <row r="2" spans="1:12">
      <c r="A2" s="8"/>
      <c r="B2" s="8"/>
      <c r="C2" s="8"/>
      <c r="D2" s="20"/>
      <c r="E2" s="20"/>
      <c r="F2" s="8"/>
      <c r="G2" s="8"/>
      <c r="H2" s="8"/>
      <c r="I2" s="8"/>
      <c r="J2" s="20"/>
      <c r="K2" s="8"/>
      <c r="L2" s="8"/>
    </row>
    <row r="3" spans="1:12">
      <c r="A3" s="8"/>
      <c r="B3" s="8" t="s">
        <v>103</v>
      </c>
      <c r="C3" s="8"/>
      <c r="D3" s="20"/>
      <c r="E3" s="20"/>
      <c r="F3" s="8"/>
      <c r="G3" s="8"/>
      <c r="H3" s="8"/>
      <c r="I3" s="8"/>
      <c r="J3" s="20"/>
      <c r="K3" s="8"/>
      <c r="L3" s="8"/>
    </row>
    <row r="4" spans="1:12" ht="15.75">
      <c r="A4" s="8"/>
      <c r="B4" s="11" t="s">
        <v>1</v>
      </c>
      <c r="C4" s="9"/>
      <c r="D4" s="21"/>
      <c r="E4" s="21"/>
      <c r="F4" s="9"/>
      <c r="G4" s="9"/>
      <c r="H4" s="9"/>
      <c r="I4" s="9"/>
      <c r="J4" s="21"/>
      <c r="K4" s="8"/>
      <c r="L4" s="8"/>
    </row>
    <row r="5" spans="1:12" ht="15.75">
      <c r="A5" s="8"/>
      <c r="B5" s="11" t="s">
        <v>108</v>
      </c>
      <c r="C5" s="9"/>
      <c r="D5" s="21"/>
      <c r="E5" s="21"/>
      <c r="F5" s="9"/>
      <c r="G5" s="9"/>
      <c r="H5" s="9"/>
      <c r="I5" s="9"/>
      <c r="J5" s="21"/>
      <c r="K5" s="8"/>
      <c r="L5" s="8"/>
    </row>
    <row r="6" spans="1:12">
      <c r="A6" s="8"/>
      <c r="B6" s="8"/>
      <c r="C6" s="8"/>
      <c r="D6" s="20"/>
      <c r="E6" s="20"/>
      <c r="F6" s="8"/>
      <c r="G6" s="8"/>
      <c r="H6" s="8"/>
      <c r="I6" s="8"/>
      <c r="J6" s="20"/>
      <c r="K6" s="8"/>
      <c r="L6" s="8"/>
    </row>
    <row r="7" spans="1:12">
      <c r="A7" s="8"/>
      <c r="B7" s="12" t="s">
        <v>3</v>
      </c>
      <c r="C7" s="12" t="s">
        <v>4</v>
      </c>
      <c r="D7" s="37">
        <v>2009</v>
      </c>
      <c r="E7" s="37">
        <v>2008</v>
      </c>
      <c r="F7" s="13">
        <v>2007</v>
      </c>
      <c r="G7" s="13">
        <v>2006</v>
      </c>
      <c r="H7" s="13">
        <v>2005</v>
      </c>
      <c r="I7" s="14">
        <v>2004</v>
      </c>
      <c r="J7" s="22" t="s">
        <v>10</v>
      </c>
      <c r="K7" s="8"/>
      <c r="L7" s="8"/>
    </row>
    <row r="8" spans="1:12">
      <c r="A8" s="8"/>
      <c r="B8" s="8"/>
      <c r="C8" s="8"/>
      <c r="D8" s="20"/>
      <c r="E8" s="20"/>
      <c r="F8" s="8"/>
      <c r="G8" s="8"/>
      <c r="H8" s="8"/>
      <c r="I8" s="8"/>
      <c r="J8" s="20"/>
      <c r="K8" s="8"/>
      <c r="L8" s="8"/>
    </row>
    <row r="9" spans="1:12">
      <c r="A9" s="8">
        <v>21</v>
      </c>
      <c r="B9" s="8" t="s">
        <v>11</v>
      </c>
      <c r="C9" s="8" t="s">
        <v>12</v>
      </c>
      <c r="D9" s="20">
        <v>12998.72</v>
      </c>
      <c r="E9" s="20">
        <v>110.44</v>
      </c>
      <c r="F9" s="15">
        <v>108.6</v>
      </c>
      <c r="G9" s="15">
        <v>46.9</v>
      </c>
      <c r="H9" s="15">
        <v>0</v>
      </c>
      <c r="I9" s="15">
        <v>0</v>
      </c>
      <c r="J9" s="20">
        <f>SUM(D9:I9)</f>
        <v>13264.66</v>
      </c>
      <c r="K9" s="8"/>
      <c r="L9" s="8"/>
    </row>
    <row r="10" spans="1:12" ht="15.75" thickBot="1">
      <c r="A10" s="8"/>
      <c r="B10" s="8"/>
      <c r="C10" s="8" t="s">
        <v>13</v>
      </c>
      <c r="D10" s="29">
        <v>238.99</v>
      </c>
      <c r="E10" s="29">
        <v>2.13</v>
      </c>
      <c r="F10" s="28">
        <v>1.79</v>
      </c>
      <c r="G10" s="28">
        <v>0.64</v>
      </c>
      <c r="H10" s="28">
        <v>0</v>
      </c>
      <c r="I10" s="28">
        <v>0</v>
      </c>
      <c r="J10" s="29">
        <f>SUM(D10:I10)</f>
        <v>243.54999999999998</v>
      </c>
      <c r="K10" s="8"/>
      <c r="L10" s="8"/>
    </row>
    <row r="11" spans="1:12">
      <c r="A11" s="8"/>
      <c r="B11" s="8"/>
      <c r="C11" s="8"/>
      <c r="D11" s="20"/>
      <c r="E11" s="20"/>
      <c r="F11" s="15"/>
      <c r="G11" s="15"/>
      <c r="H11" s="15"/>
      <c r="I11" s="15"/>
      <c r="J11" s="20"/>
      <c r="K11" s="8"/>
      <c r="L11" s="8"/>
    </row>
    <row r="12" spans="1:12" ht="15.75" thickBot="1">
      <c r="A12" s="8"/>
      <c r="B12" s="8"/>
      <c r="C12" s="8" t="s">
        <v>10</v>
      </c>
      <c r="D12" s="31">
        <f t="shared" ref="D12:I12" si="0">SUM(D9:D10)</f>
        <v>13237.71</v>
      </c>
      <c r="E12" s="31">
        <f t="shared" si="0"/>
        <v>112.57</v>
      </c>
      <c r="F12" s="30">
        <f t="shared" si="0"/>
        <v>110.39</v>
      </c>
      <c r="G12" s="30">
        <f t="shared" si="0"/>
        <v>47.54</v>
      </c>
      <c r="H12" s="30">
        <f t="shared" si="0"/>
        <v>0</v>
      </c>
      <c r="I12" s="30">
        <f t="shared" si="0"/>
        <v>0</v>
      </c>
      <c r="J12" s="31">
        <f>SUM(D12:I12)</f>
        <v>13508.21</v>
      </c>
      <c r="K12" s="8"/>
      <c r="L12" s="8"/>
    </row>
    <row r="13" spans="1:12" ht="15.75" thickTop="1">
      <c r="A13" s="8"/>
      <c r="B13" s="8"/>
      <c r="C13" s="8"/>
      <c r="D13" s="20"/>
      <c r="E13" s="20"/>
      <c r="F13" s="15"/>
      <c r="G13" s="8"/>
      <c r="H13" s="8"/>
      <c r="I13" s="8"/>
      <c r="J13" s="20"/>
      <c r="K13" s="8"/>
      <c r="L13" s="8"/>
    </row>
    <row r="14" spans="1:12">
      <c r="A14" s="8"/>
      <c r="B14" s="8"/>
      <c r="C14" s="8"/>
      <c r="D14" s="20"/>
      <c r="E14" s="20"/>
      <c r="F14" s="15"/>
      <c r="G14" s="8"/>
      <c r="H14" s="8"/>
      <c r="I14" s="8"/>
      <c r="J14" s="20"/>
      <c r="K14" s="8"/>
      <c r="L14" s="8"/>
    </row>
    <row r="15" spans="1:12">
      <c r="A15" s="8">
        <v>22</v>
      </c>
      <c r="B15" s="8" t="s">
        <v>15</v>
      </c>
      <c r="C15" s="8" t="s">
        <v>12</v>
      </c>
      <c r="D15" s="20">
        <v>12370.66</v>
      </c>
      <c r="E15" s="20">
        <v>546.46</v>
      </c>
      <c r="F15" s="15">
        <v>199.88</v>
      </c>
      <c r="G15" s="15">
        <v>149.82</v>
      </c>
      <c r="H15" s="15">
        <v>29.01</v>
      </c>
      <c r="I15" s="15">
        <v>0</v>
      </c>
      <c r="J15" s="20">
        <f>SUM(D15:I15)</f>
        <v>13295.829999999998</v>
      </c>
      <c r="K15" s="8"/>
      <c r="L15" s="8"/>
    </row>
    <row r="16" spans="1:12" ht="15.75" thickBot="1">
      <c r="A16" s="8"/>
      <c r="B16" s="8"/>
      <c r="C16" s="8" t="s">
        <v>13</v>
      </c>
      <c r="D16" s="29">
        <v>262.35000000000002</v>
      </c>
      <c r="E16" s="29">
        <v>22.59</v>
      </c>
      <c r="F16" s="28">
        <v>7.97</v>
      </c>
      <c r="G16" s="28">
        <v>0</v>
      </c>
      <c r="H16" s="28">
        <v>0</v>
      </c>
      <c r="I16" s="28">
        <v>0</v>
      </c>
      <c r="J16" s="29">
        <f>SUM(D16:I16)</f>
        <v>292.91000000000003</v>
      </c>
      <c r="K16" s="8"/>
      <c r="L16" s="8"/>
    </row>
    <row r="17" spans="1:12">
      <c r="A17" s="8"/>
      <c r="B17" s="8"/>
      <c r="C17" s="8"/>
      <c r="D17" s="20"/>
      <c r="E17" s="20"/>
      <c r="F17" s="15"/>
      <c r="G17" s="15"/>
      <c r="H17" s="15"/>
      <c r="I17" s="15"/>
      <c r="J17" s="20"/>
      <c r="K17" s="8"/>
      <c r="L17" s="8"/>
    </row>
    <row r="18" spans="1:12" ht="15.75" thickBot="1">
      <c r="A18" s="8"/>
      <c r="B18" s="8"/>
      <c r="C18" s="8" t="s">
        <v>10</v>
      </c>
      <c r="D18" s="31">
        <f t="shared" ref="D18:I18" si="1">SUM(D15:D16)</f>
        <v>12633.01</v>
      </c>
      <c r="E18" s="31">
        <f t="shared" si="1"/>
        <v>569.05000000000007</v>
      </c>
      <c r="F18" s="30">
        <f t="shared" si="1"/>
        <v>207.85</v>
      </c>
      <c r="G18" s="30">
        <f t="shared" si="1"/>
        <v>149.82</v>
      </c>
      <c r="H18" s="30">
        <f t="shared" si="1"/>
        <v>29.01</v>
      </c>
      <c r="I18" s="30">
        <f t="shared" si="1"/>
        <v>0</v>
      </c>
      <c r="J18" s="31">
        <f>SUM(D18:I18)</f>
        <v>13588.74</v>
      </c>
      <c r="K18" s="8"/>
      <c r="L18" s="8"/>
    </row>
    <row r="19" spans="1:12" ht="15.75" thickTop="1">
      <c r="A19" s="8"/>
      <c r="B19" s="8"/>
      <c r="C19" s="8"/>
      <c r="D19" s="20"/>
      <c r="E19" s="20"/>
      <c r="F19" s="15"/>
      <c r="G19" s="15"/>
      <c r="H19" s="15"/>
      <c r="I19" s="15"/>
      <c r="J19" s="20"/>
      <c r="K19" s="8"/>
      <c r="L19" s="8"/>
    </row>
    <row r="20" spans="1:12">
      <c r="A20" s="8"/>
      <c r="B20" s="8"/>
      <c r="C20" s="8"/>
      <c r="D20" s="20"/>
      <c r="E20" s="20"/>
      <c r="F20" s="15"/>
      <c r="G20" s="15"/>
      <c r="H20" s="15"/>
      <c r="I20" s="15"/>
      <c r="J20" s="20"/>
      <c r="K20" s="8"/>
      <c r="L20" s="8"/>
    </row>
    <row r="21" spans="1:12">
      <c r="A21" s="8">
        <v>23</v>
      </c>
      <c r="B21" s="8" t="s">
        <v>16</v>
      </c>
      <c r="C21" s="8" t="s">
        <v>12</v>
      </c>
      <c r="D21" s="20">
        <v>12151.33</v>
      </c>
      <c r="E21" s="20">
        <v>1302.6199999999999</v>
      </c>
      <c r="F21" s="15">
        <v>953.98</v>
      </c>
      <c r="G21" s="15">
        <v>723.37</v>
      </c>
      <c r="H21" s="15">
        <v>315.89999999999998</v>
      </c>
      <c r="I21" s="15">
        <v>0</v>
      </c>
      <c r="J21" s="20">
        <f>SUM(D21:I21)</f>
        <v>15447.2</v>
      </c>
      <c r="K21" s="8"/>
      <c r="L21" s="8"/>
    </row>
    <row r="22" spans="1:12" ht="15.75" thickBot="1">
      <c r="A22" s="8"/>
      <c r="B22" s="8"/>
      <c r="C22" s="8" t="s">
        <v>13</v>
      </c>
      <c r="D22" s="29"/>
      <c r="E22" s="29"/>
      <c r="F22" s="28"/>
      <c r="G22" s="28"/>
      <c r="H22" s="28"/>
      <c r="I22" s="28"/>
      <c r="J22" s="29">
        <f>SUM(D22:I22)</f>
        <v>0</v>
      </c>
      <c r="K22" s="8"/>
      <c r="L22" s="8"/>
    </row>
    <row r="23" spans="1:12">
      <c r="A23" s="8"/>
      <c r="B23" s="8"/>
      <c r="C23" s="8"/>
      <c r="D23" s="20"/>
      <c r="E23" s="20"/>
      <c r="F23" s="15"/>
      <c r="G23" s="15"/>
      <c r="H23" s="15"/>
      <c r="I23" s="15"/>
      <c r="J23" s="20"/>
      <c r="K23" s="8"/>
      <c r="L23" s="8"/>
    </row>
    <row r="24" spans="1:12" ht="15.75" thickBot="1">
      <c r="A24" s="8"/>
      <c r="B24" s="8"/>
      <c r="C24" s="8" t="s">
        <v>10</v>
      </c>
      <c r="D24" s="31">
        <f t="shared" ref="D24:I24" si="2">SUM(D21:D22)</f>
        <v>12151.33</v>
      </c>
      <c r="E24" s="31">
        <f t="shared" si="2"/>
        <v>1302.6199999999999</v>
      </c>
      <c r="F24" s="30">
        <f t="shared" si="2"/>
        <v>953.98</v>
      </c>
      <c r="G24" s="30">
        <f t="shared" si="2"/>
        <v>723.37</v>
      </c>
      <c r="H24" s="30">
        <f t="shared" si="2"/>
        <v>315.89999999999998</v>
      </c>
      <c r="I24" s="30">
        <f t="shared" si="2"/>
        <v>0</v>
      </c>
      <c r="J24" s="31">
        <f>SUM(D24:I24)</f>
        <v>15447.2</v>
      </c>
      <c r="K24" s="8"/>
      <c r="L24" s="8"/>
    </row>
    <row r="25" spans="1:12" ht="15.75" thickTop="1">
      <c r="A25" s="8"/>
      <c r="B25" s="8"/>
      <c r="C25" s="8"/>
      <c r="D25" s="20"/>
      <c r="E25" s="20"/>
      <c r="F25" s="15"/>
      <c r="G25" s="15"/>
      <c r="H25" s="15"/>
      <c r="I25" s="15"/>
      <c r="J25" s="20"/>
      <c r="K25" s="8"/>
      <c r="L25" s="8"/>
    </row>
    <row r="26" spans="1:12">
      <c r="A26" s="8"/>
      <c r="B26" s="8"/>
      <c r="C26" s="8"/>
      <c r="D26" s="20"/>
      <c r="E26" s="20"/>
      <c r="F26" s="15"/>
      <c r="G26" s="8"/>
      <c r="H26" s="8"/>
      <c r="I26" s="8"/>
      <c r="J26" s="20"/>
      <c r="K26" s="8"/>
      <c r="L26" s="8"/>
    </row>
    <row r="27" spans="1:12">
      <c r="A27" s="8"/>
      <c r="B27" s="8"/>
      <c r="C27" s="8"/>
      <c r="D27" s="20"/>
      <c r="E27" s="20"/>
      <c r="F27" s="15"/>
      <c r="G27" s="15"/>
      <c r="H27" s="15"/>
      <c r="I27" s="15"/>
      <c r="J27" s="20"/>
      <c r="K27" s="8"/>
      <c r="L27" s="8"/>
    </row>
    <row r="28" spans="1:12" ht="15.75" thickBot="1">
      <c r="A28" s="8">
        <v>24</v>
      </c>
      <c r="B28" s="8" t="s">
        <v>17</v>
      </c>
      <c r="C28" s="8" t="s">
        <v>12</v>
      </c>
      <c r="D28" s="29">
        <v>7454.72</v>
      </c>
      <c r="E28" s="29">
        <v>28.03</v>
      </c>
      <c r="F28" s="28">
        <v>0</v>
      </c>
      <c r="G28" s="28">
        <v>0</v>
      </c>
      <c r="H28" s="28">
        <v>0</v>
      </c>
      <c r="I28" s="28">
        <v>0</v>
      </c>
      <c r="J28" s="29">
        <f>SUM(D28:I28)</f>
        <v>7482.75</v>
      </c>
      <c r="K28" s="8"/>
      <c r="L28" s="8"/>
    </row>
    <row r="29" spans="1:12">
      <c r="A29" s="8"/>
      <c r="B29" s="8"/>
      <c r="C29" s="8"/>
      <c r="D29" s="20"/>
      <c r="E29" s="20"/>
      <c r="F29" s="15"/>
      <c r="G29" s="15"/>
      <c r="H29" s="15"/>
      <c r="I29" s="15"/>
      <c r="J29" s="20"/>
      <c r="K29" s="8"/>
      <c r="L29" s="8"/>
    </row>
    <row r="30" spans="1:12" ht="15.75" thickBot="1">
      <c r="A30" s="8"/>
      <c r="B30" s="8"/>
      <c r="C30" s="8" t="s">
        <v>10</v>
      </c>
      <c r="D30" s="31">
        <f t="shared" ref="D30:I30" si="3">SUM(D28:D29)</f>
        <v>7454.72</v>
      </c>
      <c r="E30" s="31">
        <f t="shared" si="3"/>
        <v>28.03</v>
      </c>
      <c r="F30" s="30">
        <f t="shared" si="3"/>
        <v>0</v>
      </c>
      <c r="G30" s="30">
        <f t="shared" si="3"/>
        <v>0</v>
      </c>
      <c r="H30" s="30">
        <f t="shared" si="3"/>
        <v>0</v>
      </c>
      <c r="I30" s="30">
        <f t="shared" si="3"/>
        <v>0</v>
      </c>
      <c r="J30" s="31">
        <f>SUM(D30:I30)</f>
        <v>7482.75</v>
      </c>
      <c r="K30" s="8"/>
      <c r="L30" s="8"/>
    </row>
    <row r="31" spans="1:12" ht="15.75" thickTop="1">
      <c r="A31" s="8"/>
      <c r="B31" s="8"/>
      <c r="C31" s="8"/>
      <c r="D31" s="20"/>
      <c r="E31" s="20"/>
      <c r="F31" s="15"/>
      <c r="G31" s="15"/>
      <c r="H31" s="15"/>
      <c r="I31" s="15"/>
      <c r="J31" s="20"/>
      <c r="K31" s="8"/>
      <c r="L31" s="8"/>
    </row>
    <row r="32" spans="1:12">
      <c r="A32" s="8"/>
      <c r="B32" s="8"/>
      <c r="C32" s="8"/>
      <c r="D32" s="20"/>
      <c r="E32" s="20"/>
      <c r="F32" s="15"/>
      <c r="G32" s="8"/>
      <c r="H32" s="8"/>
      <c r="I32" s="8"/>
      <c r="J32" s="20"/>
      <c r="K32" s="8"/>
      <c r="L32" s="8"/>
    </row>
    <row r="33" spans="1:12">
      <c r="A33" s="8"/>
      <c r="B33" s="8"/>
      <c r="C33" s="8"/>
      <c r="D33" s="20"/>
      <c r="E33" s="20"/>
      <c r="F33" s="15"/>
      <c r="G33" s="15"/>
      <c r="H33" s="15"/>
      <c r="I33" s="15"/>
      <c r="J33" s="20"/>
      <c r="K33" s="8"/>
      <c r="L33" s="8"/>
    </row>
    <row r="34" spans="1:12" ht="15.75" thickBot="1">
      <c r="A34" s="8">
        <v>25</v>
      </c>
      <c r="B34" s="8" t="s">
        <v>18</v>
      </c>
      <c r="C34" s="8" t="s">
        <v>12</v>
      </c>
      <c r="D34" s="29">
        <v>2759.71</v>
      </c>
      <c r="E34" s="29">
        <v>0</v>
      </c>
      <c r="F34" s="28">
        <v>0</v>
      </c>
      <c r="G34" s="28">
        <v>0</v>
      </c>
      <c r="H34" s="28">
        <v>0</v>
      </c>
      <c r="I34" s="28">
        <v>0</v>
      </c>
      <c r="J34" s="29">
        <f>SUM(D34:I34)</f>
        <v>2759.71</v>
      </c>
      <c r="K34" s="8"/>
      <c r="L34" s="8"/>
    </row>
    <row r="35" spans="1:12">
      <c r="A35" s="8"/>
      <c r="B35" s="8"/>
      <c r="C35" s="8"/>
      <c r="D35" s="20"/>
      <c r="E35" s="20"/>
      <c r="F35" s="15"/>
      <c r="G35" s="15"/>
      <c r="H35" s="15"/>
      <c r="I35" s="15"/>
      <c r="J35" s="20"/>
      <c r="K35" s="8"/>
      <c r="L35" s="8"/>
    </row>
    <row r="36" spans="1:12" ht="15.75" thickBot="1">
      <c r="A36" s="8"/>
      <c r="B36" s="8"/>
      <c r="C36" s="8" t="s">
        <v>10</v>
      </c>
      <c r="D36" s="31">
        <f t="shared" ref="D36:I36" si="4">SUM(D34:D35)</f>
        <v>2759.71</v>
      </c>
      <c r="E36" s="31">
        <f t="shared" si="4"/>
        <v>0</v>
      </c>
      <c r="F36" s="30">
        <f t="shared" si="4"/>
        <v>0</v>
      </c>
      <c r="G36" s="30">
        <f t="shared" si="4"/>
        <v>0</v>
      </c>
      <c r="H36" s="30">
        <f t="shared" si="4"/>
        <v>0</v>
      </c>
      <c r="I36" s="30">
        <f t="shared" si="4"/>
        <v>0</v>
      </c>
      <c r="J36" s="31">
        <f>SUM(D36:I36)</f>
        <v>2759.71</v>
      </c>
      <c r="K36" s="8"/>
      <c r="L36" s="8"/>
    </row>
    <row r="37" spans="1:12" ht="15.75" thickTop="1">
      <c r="A37" s="8"/>
      <c r="B37" s="8"/>
      <c r="C37" s="8"/>
      <c r="D37" s="20"/>
      <c r="E37" s="20"/>
      <c r="F37" s="15"/>
      <c r="G37" s="8"/>
      <c r="H37" s="8"/>
      <c r="I37" s="8"/>
      <c r="J37" s="20"/>
      <c r="K37" s="8"/>
      <c r="L37" s="8"/>
    </row>
    <row r="38" spans="1:12">
      <c r="A38" s="8"/>
      <c r="B38" s="8"/>
      <c r="C38" s="8"/>
      <c r="D38" s="20"/>
      <c r="E38" s="20"/>
      <c r="F38" s="15"/>
      <c r="G38" s="15"/>
      <c r="H38" s="15"/>
      <c r="I38" s="15"/>
      <c r="J38" s="20"/>
      <c r="K38" s="8"/>
      <c r="L38" s="8"/>
    </row>
    <row r="39" spans="1:12">
      <c r="A39" s="8"/>
      <c r="B39" s="8"/>
      <c r="C39" s="8"/>
      <c r="D39" s="20"/>
      <c r="E39" s="20"/>
      <c r="F39" s="15"/>
      <c r="G39" s="15"/>
      <c r="H39" s="15"/>
      <c r="I39" s="15"/>
      <c r="J39" s="20"/>
      <c r="K39" s="8"/>
      <c r="L39" s="8"/>
    </row>
    <row r="40" spans="1:12">
      <c r="A40" s="8">
        <v>26</v>
      </c>
      <c r="B40" s="8" t="s">
        <v>19</v>
      </c>
      <c r="C40" s="8" t="s">
        <v>12</v>
      </c>
      <c r="D40" s="20">
        <v>8484.74</v>
      </c>
      <c r="E40" s="20">
        <v>0</v>
      </c>
      <c r="F40" s="15">
        <v>0</v>
      </c>
      <c r="G40" s="15">
        <v>0</v>
      </c>
      <c r="H40" s="15">
        <v>0</v>
      </c>
      <c r="I40" s="15">
        <v>0</v>
      </c>
      <c r="J40" s="20">
        <f>SUM(D40:I40)</f>
        <v>8484.74</v>
      </c>
      <c r="K40" s="8"/>
      <c r="L40" s="8"/>
    </row>
    <row r="41" spans="1:12" ht="15.75" thickBot="1">
      <c r="A41" s="8"/>
      <c r="B41" s="8"/>
      <c r="C41" s="8" t="s">
        <v>13</v>
      </c>
      <c r="D41" s="29">
        <v>124.26</v>
      </c>
      <c r="E41" s="29">
        <v>0</v>
      </c>
      <c r="F41" s="28">
        <v>0</v>
      </c>
      <c r="G41" s="28">
        <v>0</v>
      </c>
      <c r="H41" s="28">
        <v>0</v>
      </c>
      <c r="I41" s="28">
        <v>0</v>
      </c>
      <c r="J41" s="29">
        <f>SUM(D41:I41)</f>
        <v>124.26</v>
      </c>
      <c r="K41" s="8"/>
      <c r="L41" s="8"/>
    </row>
    <row r="42" spans="1:12">
      <c r="A42" s="8"/>
      <c r="B42" s="8"/>
      <c r="C42" s="8"/>
      <c r="D42" s="20"/>
      <c r="E42" s="20"/>
      <c r="F42" s="15"/>
      <c r="G42" s="15"/>
      <c r="H42" s="15"/>
      <c r="I42" s="15"/>
      <c r="J42" s="20"/>
      <c r="K42" s="8"/>
      <c r="L42" s="8"/>
    </row>
    <row r="43" spans="1:12" ht="15.75" thickBot="1">
      <c r="A43" s="8"/>
      <c r="B43" s="8"/>
      <c r="C43" s="8" t="s">
        <v>10</v>
      </c>
      <c r="D43" s="31">
        <f t="shared" ref="D43:I43" si="5">SUM(D40:D41)</f>
        <v>8609</v>
      </c>
      <c r="E43" s="31">
        <f t="shared" si="5"/>
        <v>0</v>
      </c>
      <c r="F43" s="30">
        <f t="shared" si="5"/>
        <v>0</v>
      </c>
      <c r="G43" s="30">
        <f t="shared" si="5"/>
        <v>0</v>
      </c>
      <c r="H43" s="30">
        <f t="shared" si="5"/>
        <v>0</v>
      </c>
      <c r="I43" s="30">
        <f t="shared" si="5"/>
        <v>0</v>
      </c>
      <c r="J43" s="31">
        <f>SUM(D43:I43)</f>
        <v>8609</v>
      </c>
      <c r="K43" s="8"/>
      <c r="L43" s="8"/>
    </row>
    <row r="44" spans="1:12" ht="15.75" thickTop="1">
      <c r="A44" s="8"/>
      <c r="B44" s="8"/>
      <c r="C44" s="8"/>
      <c r="D44" s="20"/>
      <c r="E44" s="20"/>
      <c r="F44" s="15"/>
      <c r="G44" s="15"/>
      <c r="H44" s="15"/>
      <c r="I44" s="15"/>
      <c r="J44" s="20"/>
      <c r="K44" s="8"/>
      <c r="L44" s="8"/>
    </row>
    <row r="45" spans="1:12">
      <c r="A45" s="8"/>
      <c r="B45" s="8"/>
      <c r="C45" s="8"/>
      <c r="D45" s="20"/>
      <c r="E45" s="20"/>
      <c r="F45" s="15"/>
      <c r="G45" s="15"/>
      <c r="H45" s="15"/>
      <c r="I45" s="15"/>
      <c r="J45" s="20"/>
      <c r="K45" s="8"/>
      <c r="L45" s="8"/>
    </row>
    <row r="46" spans="1:12" ht="15.75" thickBot="1">
      <c r="A46" s="8">
        <v>27</v>
      </c>
      <c r="B46" s="8" t="s">
        <v>20</v>
      </c>
      <c r="C46" s="8" t="s">
        <v>12</v>
      </c>
      <c r="D46" s="29">
        <v>14624.75</v>
      </c>
      <c r="E46" s="29">
        <v>188.14</v>
      </c>
      <c r="F46" s="28">
        <v>0</v>
      </c>
      <c r="G46" s="28">
        <v>0</v>
      </c>
      <c r="H46" s="28">
        <v>0</v>
      </c>
      <c r="I46" s="28">
        <v>0</v>
      </c>
      <c r="J46" s="29">
        <f>SUM(D46:I46)</f>
        <v>14812.89</v>
      </c>
      <c r="K46" s="8"/>
      <c r="L46" s="8"/>
    </row>
    <row r="47" spans="1:12">
      <c r="A47" s="8"/>
      <c r="B47" s="8"/>
      <c r="C47" s="8"/>
      <c r="D47" s="20"/>
      <c r="E47" s="20"/>
      <c r="F47" s="15"/>
      <c r="G47" s="15"/>
      <c r="H47" s="15"/>
      <c r="I47" s="15"/>
      <c r="J47" s="20"/>
      <c r="K47" s="8"/>
      <c r="L47" s="8"/>
    </row>
    <row r="48" spans="1:12" ht="15.75" thickBot="1">
      <c r="A48" s="8"/>
      <c r="B48" s="8"/>
      <c r="C48" s="8" t="s">
        <v>10</v>
      </c>
      <c r="D48" s="31">
        <f t="shared" ref="D48:I48" si="6">SUM(D46:D47)</f>
        <v>14624.75</v>
      </c>
      <c r="E48" s="31">
        <f t="shared" si="6"/>
        <v>188.14</v>
      </c>
      <c r="F48" s="30">
        <f t="shared" si="6"/>
        <v>0</v>
      </c>
      <c r="G48" s="30">
        <f t="shared" si="6"/>
        <v>0</v>
      </c>
      <c r="H48" s="30">
        <f t="shared" si="6"/>
        <v>0</v>
      </c>
      <c r="I48" s="30">
        <f t="shared" si="6"/>
        <v>0</v>
      </c>
      <c r="J48" s="31">
        <f>SUM(D48:I48)</f>
        <v>14812.89</v>
      </c>
      <c r="K48" s="8"/>
      <c r="L48" s="8"/>
    </row>
    <row r="49" spans="1:12" ht="15.75" thickTop="1">
      <c r="A49" s="8"/>
      <c r="B49" s="8"/>
      <c r="C49" s="8"/>
      <c r="D49" s="20"/>
      <c r="E49" s="20"/>
      <c r="F49" s="15"/>
      <c r="G49" s="8"/>
      <c r="H49" s="8"/>
      <c r="I49" s="8"/>
      <c r="J49" s="20"/>
      <c r="K49" s="8"/>
      <c r="L49" s="8"/>
    </row>
    <row r="50" spans="1:12">
      <c r="A50" s="8"/>
      <c r="B50" s="8"/>
      <c r="C50" s="8"/>
      <c r="D50" s="20"/>
      <c r="E50" s="20"/>
      <c r="F50" s="15"/>
      <c r="G50" s="8"/>
      <c r="H50" s="8"/>
      <c r="I50" s="8"/>
      <c r="J50" s="20"/>
      <c r="K50" s="8"/>
      <c r="L50" s="8"/>
    </row>
    <row r="51" spans="1:12">
      <c r="A51" s="8"/>
      <c r="B51" s="8"/>
      <c r="C51" s="8"/>
      <c r="D51" s="20"/>
      <c r="E51" s="20"/>
      <c r="F51" s="15"/>
      <c r="G51" s="15"/>
      <c r="H51" s="15"/>
      <c r="I51" s="15"/>
      <c r="J51" s="20"/>
      <c r="K51" s="8"/>
      <c r="L51" s="8"/>
    </row>
    <row r="52" spans="1:12">
      <c r="A52" s="8"/>
      <c r="B52" s="8"/>
      <c r="C52" s="8"/>
      <c r="D52" s="20"/>
      <c r="E52" s="20"/>
      <c r="F52" s="15"/>
      <c r="G52" s="15"/>
      <c r="H52" s="15"/>
      <c r="I52" s="15"/>
      <c r="J52" s="20"/>
      <c r="K52" s="8"/>
      <c r="L52" s="8"/>
    </row>
    <row r="53" spans="1:12">
      <c r="A53" s="8">
        <v>28</v>
      </c>
      <c r="B53" s="8" t="s">
        <v>21</v>
      </c>
      <c r="C53" s="8" t="s">
        <v>12</v>
      </c>
      <c r="D53" s="20">
        <v>7947.03</v>
      </c>
      <c r="E53" s="20">
        <v>333.6</v>
      </c>
      <c r="F53" s="15">
        <v>0</v>
      </c>
      <c r="G53" s="15">
        <v>0</v>
      </c>
      <c r="H53" s="15">
        <v>0</v>
      </c>
      <c r="I53" s="15">
        <v>0</v>
      </c>
      <c r="J53" s="20">
        <f>SUM(D53:I53)</f>
        <v>8280.6299999999992</v>
      </c>
      <c r="K53" s="8"/>
      <c r="L53" s="8"/>
    </row>
    <row r="54" spans="1:12" ht="15.75" thickBot="1">
      <c r="A54" s="8"/>
      <c r="B54" s="8"/>
      <c r="C54" s="8" t="s">
        <v>13</v>
      </c>
      <c r="D54" s="29"/>
      <c r="E54" s="29"/>
      <c r="F54" s="28"/>
      <c r="G54" s="28"/>
      <c r="H54" s="28"/>
      <c r="I54" s="28"/>
      <c r="J54" s="29">
        <f>SUM(D54:I54)</f>
        <v>0</v>
      </c>
      <c r="K54" s="8"/>
      <c r="L54" s="8"/>
    </row>
    <row r="55" spans="1:12">
      <c r="A55" s="8"/>
      <c r="B55" s="8"/>
      <c r="C55" s="8"/>
      <c r="D55" s="20"/>
      <c r="E55" s="20"/>
      <c r="F55" s="15"/>
      <c r="G55" s="15"/>
      <c r="H55" s="15"/>
      <c r="I55" s="15"/>
      <c r="J55" s="20"/>
      <c r="K55" s="8"/>
      <c r="L55" s="8"/>
    </row>
    <row r="56" spans="1:12" ht="15.75" thickBot="1">
      <c r="A56" s="8"/>
      <c r="B56" s="8"/>
      <c r="C56" s="8" t="s">
        <v>10</v>
      </c>
      <c r="D56" s="31">
        <f t="shared" ref="D56:I56" si="7">SUM(D53:D54)</f>
        <v>7947.03</v>
      </c>
      <c r="E56" s="31">
        <f t="shared" si="7"/>
        <v>333.6</v>
      </c>
      <c r="F56" s="30">
        <f t="shared" si="7"/>
        <v>0</v>
      </c>
      <c r="G56" s="30">
        <f t="shared" si="7"/>
        <v>0</v>
      </c>
      <c r="H56" s="30">
        <f t="shared" si="7"/>
        <v>0</v>
      </c>
      <c r="I56" s="30">
        <f t="shared" si="7"/>
        <v>0</v>
      </c>
      <c r="J56" s="31">
        <f>SUM(D56:I56)</f>
        <v>8280.6299999999992</v>
      </c>
      <c r="K56" s="8"/>
      <c r="L56" s="8"/>
    </row>
    <row r="57" spans="1:12" ht="15.75" thickTop="1">
      <c r="A57" s="8"/>
      <c r="B57" s="8"/>
      <c r="C57" s="8"/>
      <c r="D57" s="20"/>
      <c r="E57" s="20"/>
      <c r="F57" s="15"/>
      <c r="G57" s="15"/>
      <c r="H57" s="15"/>
      <c r="I57" s="15"/>
      <c r="J57" s="20"/>
      <c r="K57" s="8"/>
      <c r="L57" s="8"/>
    </row>
    <row r="58" spans="1:12">
      <c r="A58" s="8"/>
      <c r="B58" s="8"/>
      <c r="C58" s="8"/>
      <c r="D58" s="20"/>
      <c r="E58" s="20"/>
      <c r="F58" s="15"/>
      <c r="G58" s="15"/>
      <c r="H58" s="15"/>
      <c r="I58" s="15"/>
      <c r="J58" s="20"/>
      <c r="K58" s="8"/>
      <c r="L58" s="8"/>
    </row>
    <row r="59" spans="1:12">
      <c r="A59" s="8">
        <v>29</v>
      </c>
      <c r="B59" s="8" t="s">
        <v>22</v>
      </c>
      <c r="C59" s="8" t="s">
        <v>12</v>
      </c>
      <c r="D59" s="20">
        <v>15505.62</v>
      </c>
      <c r="E59" s="20">
        <v>0</v>
      </c>
      <c r="F59" s="15">
        <v>0</v>
      </c>
      <c r="G59" s="15">
        <v>0</v>
      </c>
      <c r="H59" s="15">
        <v>0</v>
      </c>
      <c r="I59" s="15">
        <v>0</v>
      </c>
      <c r="J59" s="20">
        <f>SUM(D59:I59)</f>
        <v>15505.62</v>
      </c>
      <c r="K59" s="8"/>
      <c r="L59" s="8"/>
    </row>
    <row r="60" spans="1:12">
      <c r="A60" s="8"/>
      <c r="B60" s="8"/>
      <c r="C60" s="8" t="s">
        <v>35</v>
      </c>
      <c r="D60" s="20">
        <v>865.09</v>
      </c>
      <c r="E60" s="20">
        <v>0</v>
      </c>
      <c r="F60" s="15">
        <v>0</v>
      </c>
      <c r="G60" s="15">
        <v>0</v>
      </c>
      <c r="H60" s="15">
        <v>0</v>
      </c>
      <c r="I60" s="15">
        <v>0</v>
      </c>
      <c r="J60" s="20">
        <f>SUM(D60:I60)</f>
        <v>865.09</v>
      </c>
      <c r="K60" s="8"/>
      <c r="L60" s="8"/>
    </row>
    <row r="61" spans="1:12">
      <c r="A61" s="8"/>
      <c r="B61" s="8"/>
      <c r="C61" s="8" t="s">
        <v>13</v>
      </c>
      <c r="D61" s="20">
        <v>328.32</v>
      </c>
      <c r="E61" s="20">
        <v>0</v>
      </c>
      <c r="F61" s="15">
        <v>0</v>
      </c>
      <c r="G61" s="15">
        <v>0</v>
      </c>
      <c r="H61" s="15">
        <v>0</v>
      </c>
      <c r="I61" s="15">
        <v>0</v>
      </c>
      <c r="J61" s="20">
        <f>SUM(D61:I61)</f>
        <v>328.32</v>
      </c>
      <c r="K61" s="8"/>
      <c r="L61" s="8"/>
    </row>
    <row r="62" spans="1:12" ht="15.75" thickBot="1">
      <c r="A62" s="8"/>
      <c r="B62" s="8"/>
      <c r="C62" s="8" t="s">
        <v>78</v>
      </c>
      <c r="D62" s="29">
        <v>1105.22</v>
      </c>
      <c r="E62" s="29">
        <v>0</v>
      </c>
      <c r="F62" s="28">
        <v>0</v>
      </c>
      <c r="G62" s="28">
        <v>0</v>
      </c>
      <c r="H62" s="28">
        <v>0</v>
      </c>
      <c r="I62" s="28">
        <v>0</v>
      </c>
      <c r="J62" s="29">
        <f>SUM(D62:I62)</f>
        <v>1105.22</v>
      </c>
      <c r="K62" s="8"/>
      <c r="L62" s="8"/>
    </row>
    <row r="63" spans="1:12">
      <c r="A63" s="8"/>
      <c r="B63" s="8"/>
      <c r="C63" s="8"/>
      <c r="D63" s="20"/>
      <c r="E63" s="20"/>
      <c r="F63" s="15"/>
      <c r="G63" s="15"/>
      <c r="H63" s="15"/>
      <c r="I63" s="15"/>
      <c r="J63" s="20"/>
      <c r="K63" s="8"/>
      <c r="L63" s="8"/>
    </row>
    <row r="64" spans="1:12" ht="15.75" thickBot="1">
      <c r="A64" s="8"/>
      <c r="B64" s="8"/>
      <c r="C64" s="8" t="s">
        <v>10</v>
      </c>
      <c r="D64" s="31">
        <f t="shared" ref="D64:I64" si="8">SUM(D59:D62)</f>
        <v>17804.250000000004</v>
      </c>
      <c r="E64" s="31">
        <f t="shared" si="8"/>
        <v>0</v>
      </c>
      <c r="F64" s="30">
        <f t="shared" si="8"/>
        <v>0</v>
      </c>
      <c r="G64" s="30">
        <f t="shared" si="8"/>
        <v>0</v>
      </c>
      <c r="H64" s="30">
        <f t="shared" si="8"/>
        <v>0</v>
      </c>
      <c r="I64" s="30">
        <f t="shared" si="8"/>
        <v>0</v>
      </c>
      <c r="J64" s="31">
        <f>SUM(D64:I64)</f>
        <v>17804.250000000004</v>
      </c>
      <c r="K64" s="8"/>
      <c r="L64" s="8"/>
    </row>
    <row r="65" spans="1:12" ht="15.75" thickTop="1">
      <c r="A65" s="8"/>
      <c r="B65" s="8"/>
      <c r="C65" s="8"/>
      <c r="D65" s="20"/>
      <c r="E65" s="20"/>
      <c r="F65" s="15"/>
      <c r="G65" s="15"/>
      <c r="H65" s="15"/>
      <c r="I65" s="15"/>
      <c r="J65" s="20"/>
      <c r="K65" s="8"/>
      <c r="L65" s="8"/>
    </row>
    <row r="66" spans="1:12">
      <c r="A66" s="8"/>
      <c r="B66" s="8"/>
      <c r="C66" s="8"/>
      <c r="D66" s="20"/>
      <c r="E66" s="20"/>
      <c r="F66" s="15"/>
      <c r="G66" s="15"/>
      <c r="H66" s="15"/>
      <c r="I66" s="15"/>
      <c r="J66" s="20"/>
      <c r="K66" s="8"/>
      <c r="L66" s="8"/>
    </row>
    <row r="67" spans="1:12">
      <c r="A67" s="8">
        <v>30</v>
      </c>
      <c r="B67" s="8" t="s">
        <v>23</v>
      </c>
      <c r="C67" s="8" t="s">
        <v>12</v>
      </c>
      <c r="D67" s="20">
        <v>5667.41</v>
      </c>
      <c r="E67" s="20">
        <v>122.27</v>
      </c>
      <c r="F67" s="15">
        <v>13.96</v>
      </c>
      <c r="G67" s="15">
        <v>0</v>
      </c>
      <c r="H67" s="15">
        <v>0</v>
      </c>
      <c r="I67" s="15">
        <v>0</v>
      </c>
      <c r="J67" s="20">
        <f>SUM(D67:I67)</f>
        <v>5803.64</v>
      </c>
      <c r="K67" s="8"/>
      <c r="L67" s="8"/>
    </row>
    <row r="68" spans="1:12" ht="15.75" thickBot="1">
      <c r="A68" s="8"/>
      <c r="B68" s="8"/>
      <c r="C68" s="8" t="s">
        <v>13</v>
      </c>
      <c r="D68" s="29"/>
      <c r="E68" s="29"/>
      <c r="F68" s="28"/>
      <c r="G68" s="28"/>
      <c r="H68" s="28"/>
      <c r="I68" s="28"/>
      <c r="J68" s="29"/>
      <c r="K68" s="8"/>
      <c r="L68" s="8"/>
    </row>
    <row r="69" spans="1:12">
      <c r="A69" s="8"/>
      <c r="B69" s="8"/>
      <c r="C69" s="8"/>
      <c r="D69" s="20"/>
      <c r="E69" s="20"/>
      <c r="F69" s="15"/>
      <c r="G69" s="15"/>
      <c r="H69" s="15"/>
      <c r="I69" s="15"/>
      <c r="J69" s="20"/>
      <c r="K69" s="8"/>
      <c r="L69" s="8"/>
    </row>
    <row r="70" spans="1:12" ht="15.75" thickBot="1">
      <c r="A70" s="8"/>
      <c r="B70" s="8"/>
      <c r="C70" s="15" t="s">
        <v>10</v>
      </c>
      <c r="D70" s="31">
        <f t="shared" ref="D70:I70" si="9">SUM(D67:D68)</f>
        <v>5667.41</v>
      </c>
      <c r="E70" s="31">
        <f t="shared" si="9"/>
        <v>122.27</v>
      </c>
      <c r="F70" s="30">
        <f t="shared" si="9"/>
        <v>13.96</v>
      </c>
      <c r="G70" s="30">
        <f t="shared" si="9"/>
        <v>0</v>
      </c>
      <c r="H70" s="30">
        <f t="shared" si="9"/>
        <v>0</v>
      </c>
      <c r="I70" s="30">
        <f t="shared" si="9"/>
        <v>0</v>
      </c>
      <c r="J70" s="31">
        <f>SUM(D70:I70)</f>
        <v>5803.64</v>
      </c>
      <c r="K70" s="8"/>
      <c r="L70" s="8"/>
    </row>
    <row r="71" spans="1:12" ht="15.75" thickTop="1">
      <c r="A71" s="8"/>
      <c r="B71" s="8"/>
      <c r="C71" s="8"/>
      <c r="D71" s="20"/>
      <c r="E71" s="20"/>
      <c r="F71" s="15"/>
      <c r="G71" s="15"/>
      <c r="H71" s="15"/>
      <c r="I71" s="15"/>
      <c r="J71" s="20"/>
      <c r="K71" s="8"/>
      <c r="L71" s="8"/>
    </row>
    <row r="72" spans="1:12">
      <c r="A72" s="8"/>
      <c r="B72" s="8"/>
      <c r="C72" s="8"/>
      <c r="D72" s="20"/>
      <c r="E72" s="20"/>
      <c r="F72" s="15"/>
      <c r="G72" s="15"/>
      <c r="H72" s="15"/>
      <c r="I72" s="15"/>
      <c r="J72" s="20"/>
      <c r="K72" s="8"/>
      <c r="L72" s="8"/>
    </row>
    <row r="73" spans="1:12">
      <c r="A73" s="8">
        <v>31</v>
      </c>
      <c r="B73" s="8" t="s">
        <v>24</v>
      </c>
      <c r="C73" s="8" t="s">
        <v>12</v>
      </c>
      <c r="D73" s="20">
        <v>2846.85</v>
      </c>
      <c r="E73" s="20">
        <v>99.96</v>
      </c>
      <c r="F73" s="15">
        <v>41.96</v>
      </c>
      <c r="G73" s="15">
        <v>40.43</v>
      </c>
      <c r="H73" s="15">
        <v>0</v>
      </c>
      <c r="I73" s="15">
        <v>0</v>
      </c>
      <c r="J73" s="20">
        <f>SUM(D73:I73)</f>
        <v>3029.2</v>
      </c>
      <c r="K73" s="8"/>
      <c r="L73" s="8"/>
    </row>
    <row r="74" spans="1:12" ht="15.75" thickBot="1">
      <c r="A74" s="8"/>
      <c r="B74" s="8"/>
      <c r="C74" s="8" t="s">
        <v>13</v>
      </c>
      <c r="D74" s="29">
        <v>96.9</v>
      </c>
      <c r="E74" s="29">
        <v>3.53</v>
      </c>
      <c r="F74" s="28">
        <v>1.55</v>
      </c>
      <c r="G74" s="28">
        <v>2.15</v>
      </c>
      <c r="H74" s="28">
        <v>0</v>
      </c>
      <c r="I74" s="28">
        <v>0</v>
      </c>
      <c r="J74" s="29">
        <f>SUM(D74:I74)</f>
        <v>104.13000000000001</v>
      </c>
      <c r="K74" s="8"/>
      <c r="L74" s="8"/>
    </row>
    <row r="75" spans="1:12">
      <c r="A75" s="8"/>
      <c r="B75" s="8"/>
      <c r="C75" s="8"/>
      <c r="D75" s="20"/>
      <c r="E75" s="20"/>
      <c r="F75" s="15"/>
      <c r="G75" s="15"/>
      <c r="H75" s="15"/>
      <c r="I75" s="15"/>
      <c r="J75" s="20"/>
      <c r="K75" s="8"/>
      <c r="L75" s="8"/>
    </row>
    <row r="76" spans="1:12" ht="15.75" thickBot="1">
      <c r="A76" s="8"/>
      <c r="B76" s="8"/>
      <c r="C76" s="8" t="s">
        <v>10</v>
      </c>
      <c r="D76" s="31">
        <f t="shared" ref="D76:I76" si="10">SUM(D73:D74)</f>
        <v>2943.75</v>
      </c>
      <c r="E76" s="31">
        <f t="shared" si="10"/>
        <v>103.49</v>
      </c>
      <c r="F76" s="30">
        <f t="shared" si="10"/>
        <v>43.51</v>
      </c>
      <c r="G76" s="30">
        <f t="shared" si="10"/>
        <v>42.58</v>
      </c>
      <c r="H76" s="30">
        <f t="shared" si="10"/>
        <v>0</v>
      </c>
      <c r="I76" s="30">
        <f t="shared" si="10"/>
        <v>0</v>
      </c>
      <c r="J76" s="31">
        <f>SUM(D76:I76)</f>
        <v>3133.33</v>
      </c>
      <c r="K76" s="8"/>
      <c r="L76" s="8"/>
    </row>
    <row r="77" spans="1:12" ht="15.75" thickTop="1">
      <c r="A77" s="8"/>
      <c r="B77" s="8"/>
      <c r="C77" s="8"/>
      <c r="D77" s="20"/>
      <c r="E77" s="20"/>
      <c r="F77" s="15"/>
      <c r="G77" s="15"/>
      <c r="H77" s="15"/>
      <c r="I77" s="15"/>
      <c r="J77" s="20"/>
      <c r="K77" s="8"/>
      <c r="L77" s="8"/>
    </row>
    <row r="78" spans="1:12">
      <c r="A78" s="8"/>
      <c r="B78" s="8"/>
      <c r="C78" s="8"/>
      <c r="D78" s="20"/>
      <c r="E78" s="20"/>
      <c r="F78" s="15"/>
      <c r="G78" s="15"/>
      <c r="H78" s="15"/>
      <c r="I78" s="15"/>
      <c r="J78" s="20"/>
      <c r="K78" s="8"/>
      <c r="L78" s="8"/>
    </row>
    <row r="79" spans="1:12">
      <c r="A79" s="8">
        <v>32</v>
      </c>
      <c r="B79" s="8" t="s">
        <v>25</v>
      </c>
      <c r="C79" s="8" t="s">
        <v>12</v>
      </c>
      <c r="D79" s="20">
        <v>17126.02</v>
      </c>
      <c r="E79" s="20">
        <v>797.6</v>
      </c>
      <c r="F79" s="15">
        <v>109.11</v>
      </c>
      <c r="G79" s="15">
        <v>79.37</v>
      </c>
      <c r="H79" s="15">
        <v>62.54</v>
      </c>
      <c r="I79" s="15">
        <v>0</v>
      </c>
      <c r="J79" s="20">
        <f>SUM(D79:I79)</f>
        <v>18174.64</v>
      </c>
      <c r="K79" s="8"/>
      <c r="L79" s="8"/>
    </row>
    <row r="80" spans="1:12">
      <c r="A80" s="8"/>
      <c r="B80" s="8"/>
      <c r="C80" s="8" t="s">
        <v>13</v>
      </c>
      <c r="D80" s="20">
        <v>310.87</v>
      </c>
      <c r="E80" s="20">
        <v>13.33</v>
      </c>
      <c r="F80" s="15">
        <v>2.0499999999999998</v>
      </c>
      <c r="G80" s="15">
        <v>1.17</v>
      </c>
      <c r="H80" s="15">
        <v>1.38</v>
      </c>
      <c r="I80" s="15">
        <v>0</v>
      </c>
      <c r="J80" s="20">
        <f>SUM(D80:I80)</f>
        <v>328.8</v>
      </c>
      <c r="K80" s="8"/>
      <c r="L80" s="8"/>
    </row>
    <row r="81" spans="1:12">
      <c r="A81" s="8"/>
      <c r="B81" s="8"/>
      <c r="C81" s="8" t="s">
        <v>73</v>
      </c>
      <c r="D81" s="20"/>
      <c r="E81" s="20"/>
      <c r="F81" s="26"/>
      <c r="G81" s="8"/>
      <c r="H81" s="26"/>
      <c r="I81" s="8"/>
      <c r="J81" s="20">
        <f>SUM(D81:I81)</f>
        <v>0</v>
      </c>
      <c r="K81" s="8"/>
      <c r="L81" s="8"/>
    </row>
    <row r="82" spans="1:12" ht="15.75" thickBot="1">
      <c r="A82" s="8"/>
      <c r="B82" s="8"/>
      <c r="C82" s="8" t="s">
        <v>78</v>
      </c>
      <c r="D82" s="29"/>
      <c r="E82" s="29"/>
      <c r="F82" s="33"/>
      <c r="G82" s="27"/>
      <c r="H82" s="27"/>
      <c r="I82" s="27"/>
      <c r="J82" s="29">
        <f>SUM(D82:I82)</f>
        <v>0</v>
      </c>
      <c r="K82" s="8"/>
      <c r="L82" s="8"/>
    </row>
    <row r="83" spans="1:12">
      <c r="A83" s="8"/>
      <c r="B83" s="8"/>
      <c r="C83" s="8"/>
      <c r="D83" s="20"/>
      <c r="E83" s="20"/>
      <c r="F83" s="15"/>
      <c r="G83" s="8"/>
      <c r="H83" s="8"/>
      <c r="I83" s="8"/>
      <c r="J83" s="20"/>
      <c r="K83" s="8"/>
      <c r="L83" s="8"/>
    </row>
    <row r="84" spans="1:12" ht="15.75" thickBot="1">
      <c r="A84" s="8"/>
      <c r="B84" s="8"/>
      <c r="C84" s="8" t="s">
        <v>10</v>
      </c>
      <c r="D84" s="31">
        <f t="shared" ref="D84:I84" si="11">SUM(D79:D82)</f>
        <v>17436.89</v>
      </c>
      <c r="E84" s="31">
        <f t="shared" si="11"/>
        <v>810.93000000000006</v>
      </c>
      <c r="F84" s="30">
        <f t="shared" si="11"/>
        <v>111.16</v>
      </c>
      <c r="G84" s="30">
        <f t="shared" si="11"/>
        <v>80.540000000000006</v>
      </c>
      <c r="H84" s="30">
        <f t="shared" si="11"/>
        <v>63.92</v>
      </c>
      <c r="I84" s="30">
        <f t="shared" si="11"/>
        <v>0</v>
      </c>
      <c r="J84" s="31">
        <f>SUM(D84:I84)</f>
        <v>18503.439999999999</v>
      </c>
      <c r="K84" s="8"/>
      <c r="L84" s="8"/>
    </row>
    <row r="85" spans="1:12" ht="15.75" thickTop="1">
      <c r="A85" s="8"/>
      <c r="B85" s="8"/>
      <c r="C85" s="8"/>
      <c r="D85" s="20"/>
      <c r="E85" s="20"/>
      <c r="F85" s="15"/>
      <c r="G85" s="15"/>
      <c r="H85" s="15"/>
      <c r="I85" s="15"/>
      <c r="J85" s="20"/>
      <c r="K85" s="8"/>
      <c r="L85" s="8"/>
    </row>
    <row r="86" spans="1:12">
      <c r="A86" s="8"/>
      <c r="B86" s="8"/>
      <c r="C86" s="8"/>
      <c r="D86" s="20"/>
      <c r="E86" s="20"/>
      <c r="F86" s="15"/>
      <c r="G86" s="15"/>
      <c r="H86" s="15"/>
      <c r="I86" s="15"/>
      <c r="J86" s="20"/>
      <c r="K86" s="8"/>
      <c r="L86" s="8"/>
    </row>
    <row r="87" spans="1:12">
      <c r="A87" s="8">
        <v>33</v>
      </c>
      <c r="B87" s="8" t="s">
        <v>26</v>
      </c>
      <c r="C87" s="8" t="s">
        <v>12</v>
      </c>
      <c r="D87" s="20">
        <v>8616.52</v>
      </c>
      <c r="E87" s="20">
        <v>82.63</v>
      </c>
      <c r="F87" s="15">
        <v>0</v>
      </c>
      <c r="G87" s="15">
        <v>0</v>
      </c>
      <c r="H87" s="15">
        <v>0</v>
      </c>
      <c r="I87" s="15">
        <v>0</v>
      </c>
      <c r="J87" s="20">
        <f>SUM(D87:I87)</f>
        <v>8699.15</v>
      </c>
      <c r="K87" s="8"/>
      <c r="L87" s="8"/>
    </row>
    <row r="88" spans="1:12" ht="15.75" thickBot="1">
      <c r="A88" s="8"/>
      <c r="B88" s="8"/>
      <c r="C88" s="8" t="s">
        <v>13</v>
      </c>
      <c r="D88" s="29">
        <v>153</v>
      </c>
      <c r="E88" s="29">
        <v>1.24</v>
      </c>
      <c r="F88" s="28">
        <v>0</v>
      </c>
      <c r="G88" s="28">
        <v>0</v>
      </c>
      <c r="H88" s="28">
        <v>0</v>
      </c>
      <c r="I88" s="28">
        <v>0</v>
      </c>
      <c r="J88" s="29">
        <f>SUM(D88:I88)</f>
        <v>154.24</v>
      </c>
      <c r="K88" s="8"/>
      <c r="L88" s="8"/>
    </row>
    <row r="89" spans="1:12">
      <c r="A89" s="8"/>
      <c r="B89" s="8"/>
      <c r="C89" s="8"/>
      <c r="D89" s="20"/>
      <c r="E89" s="20"/>
      <c r="F89" s="15"/>
      <c r="G89" s="15"/>
      <c r="H89" s="15"/>
      <c r="I89" s="15"/>
      <c r="J89" s="20"/>
      <c r="K89" s="8"/>
      <c r="L89" s="8"/>
    </row>
    <row r="90" spans="1:12" ht="15.75" thickBot="1">
      <c r="A90" s="8"/>
      <c r="B90" s="8"/>
      <c r="C90" s="8" t="s">
        <v>10</v>
      </c>
      <c r="D90" s="31">
        <f t="shared" ref="D90:I90" si="12">SUM(D87:D88)</f>
        <v>8769.52</v>
      </c>
      <c r="E90" s="31">
        <f t="shared" si="12"/>
        <v>83.86999999999999</v>
      </c>
      <c r="F90" s="30">
        <f t="shared" si="12"/>
        <v>0</v>
      </c>
      <c r="G90" s="30">
        <f t="shared" si="12"/>
        <v>0</v>
      </c>
      <c r="H90" s="30">
        <f t="shared" si="12"/>
        <v>0</v>
      </c>
      <c r="I90" s="30">
        <f t="shared" si="12"/>
        <v>0</v>
      </c>
      <c r="J90" s="31">
        <f>SUM(D90:I90)</f>
        <v>8853.3900000000012</v>
      </c>
      <c r="K90" s="8"/>
      <c r="L90" s="8"/>
    </row>
    <row r="91" spans="1:12" ht="15.75" thickTop="1">
      <c r="A91" s="8"/>
      <c r="B91" s="8"/>
      <c r="C91" s="8"/>
      <c r="D91" s="20"/>
      <c r="E91" s="20"/>
      <c r="F91" s="15"/>
      <c r="G91" s="15"/>
      <c r="H91" s="15"/>
      <c r="I91" s="15"/>
      <c r="J91" s="20"/>
      <c r="K91" s="8"/>
      <c r="L91" s="8"/>
    </row>
    <row r="92" spans="1:12">
      <c r="A92" s="8"/>
      <c r="B92" s="8"/>
      <c r="C92" s="8"/>
      <c r="D92" s="20"/>
      <c r="E92" s="20"/>
      <c r="F92" s="15"/>
      <c r="G92" s="15"/>
      <c r="H92" s="15"/>
      <c r="I92" s="15"/>
      <c r="J92" s="20"/>
      <c r="K92" s="8"/>
      <c r="L92" s="8"/>
    </row>
    <row r="93" spans="1:12">
      <c r="A93" s="8">
        <v>34</v>
      </c>
      <c r="B93" s="8" t="s">
        <v>27</v>
      </c>
      <c r="C93" s="8" t="s">
        <v>12</v>
      </c>
      <c r="D93" s="20">
        <v>12087.85</v>
      </c>
      <c r="E93" s="20">
        <v>485.95</v>
      </c>
      <c r="F93" s="15">
        <v>32.450000000000003</v>
      </c>
      <c r="G93" s="15">
        <v>0</v>
      </c>
      <c r="H93" s="15">
        <v>0</v>
      </c>
      <c r="I93" s="15">
        <v>0</v>
      </c>
      <c r="J93" s="20">
        <f>SUM(D93:I93)</f>
        <v>12606.250000000002</v>
      </c>
      <c r="K93" s="8"/>
      <c r="L93" s="8"/>
    </row>
    <row r="94" spans="1:12">
      <c r="A94" s="8"/>
      <c r="B94" s="8"/>
      <c r="C94" s="8" t="s">
        <v>35</v>
      </c>
      <c r="D94" s="20">
        <v>448.07</v>
      </c>
      <c r="E94" s="20">
        <v>18.29</v>
      </c>
      <c r="F94" s="15">
        <v>1.32</v>
      </c>
      <c r="G94" s="15">
        <v>0</v>
      </c>
      <c r="H94" s="15">
        <v>0</v>
      </c>
      <c r="I94" s="15">
        <v>0</v>
      </c>
      <c r="J94" s="20">
        <f>SUM(D94:I94)</f>
        <v>467.68</v>
      </c>
      <c r="K94" s="8"/>
      <c r="L94" s="8"/>
    </row>
    <row r="95" spans="1:12">
      <c r="A95" s="8"/>
      <c r="B95" s="8"/>
      <c r="C95" s="8" t="s">
        <v>13</v>
      </c>
      <c r="D95" s="20">
        <v>226.54</v>
      </c>
      <c r="E95" s="20">
        <v>18.29</v>
      </c>
      <c r="F95" s="15">
        <v>1.23</v>
      </c>
      <c r="G95" s="15">
        <v>0</v>
      </c>
      <c r="H95" s="15">
        <v>0</v>
      </c>
      <c r="I95" s="15">
        <v>0</v>
      </c>
      <c r="J95" s="20">
        <f>SUM(D95:I95)</f>
        <v>246.05999999999997</v>
      </c>
      <c r="K95" s="8"/>
      <c r="L95" s="8"/>
    </row>
    <row r="96" spans="1:12" ht="15.75" thickBot="1">
      <c r="A96" s="8"/>
      <c r="B96" s="8"/>
      <c r="C96" s="8" t="s">
        <v>78</v>
      </c>
      <c r="D96" s="29">
        <v>1037.67</v>
      </c>
      <c r="E96" s="29">
        <v>42.44</v>
      </c>
      <c r="F96" s="28">
        <v>3.05</v>
      </c>
      <c r="G96" s="28">
        <v>0</v>
      </c>
      <c r="H96" s="28">
        <v>0</v>
      </c>
      <c r="I96" s="28">
        <v>0</v>
      </c>
      <c r="J96" s="29">
        <f>SUM(D96:I96)</f>
        <v>1083.1600000000001</v>
      </c>
      <c r="K96" s="8"/>
      <c r="L96" s="8"/>
    </row>
    <row r="97" spans="1:12">
      <c r="A97" s="8"/>
      <c r="B97" s="8"/>
      <c r="C97" s="8"/>
      <c r="D97" s="20"/>
      <c r="E97" s="20"/>
      <c r="F97" s="15"/>
      <c r="G97" s="15"/>
      <c r="H97" s="15"/>
      <c r="I97" s="15"/>
      <c r="J97" s="20"/>
      <c r="K97" s="8"/>
      <c r="L97" s="8"/>
    </row>
    <row r="98" spans="1:12" ht="15.75" thickBot="1">
      <c r="A98" s="8"/>
      <c r="B98" s="8"/>
      <c r="C98" s="8" t="s">
        <v>10</v>
      </c>
      <c r="D98" s="31">
        <f t="shared" ref="D98:I98" si="13">SUM(D93:D97)</f>
        <v>13800.130000000001</v>
      </c>
      <c r="E98" s="31">
        <f t="shared" si="13"/>
        <v>564.97</v>
      </c>
      <c r="F98" s="30">
        <f t="shared" si="13"/>
        <v>38.049999999999997</v>
      </c>
      <c r="G98" s="30">
        <f t="shared" si="13"/>
        <v>0</v>
      </c>
      <c r="H98" s="30">
        <f t="shared" si="13"/>
        <v>0</v>
      </c>
      <c r="I98" s="30">
        <f t="shared" si="13"/>
        <v>0</v>
      </c>
      <c r="J98" s="31">
        <f>SUM(D98:I98)</f>
        <v>14403.15</v>
      </c>
      <c r="K98" s="8"/>
      <c r="L98" s="8"/>
    </row>
    <row r="99" spans="1:12" ht="15.75" thickTop="1">
      <c r="A99" s="8"/>
      <c r="B99" s="8"/>
      <c r="C99" s="8"/>
      <c r="D99" s="20"/>
      <c r="E99" s="20"/>
      <c r="F99" s="15"/>
      <c r="G99" s="15"/>
      <c r="H99" s="15"/>
      <c r="I99" s="15"/>
      <c r="J99" s="20"/>
      <c r="K99" s="8"/>
      <c r="L99" s="8"/>
    </row>
    <row r="100" spans="1:12">
      <c r="A100" s="8"/>
      <c r="B100" s="8"/>
      <c r="C100" s="8"/>
      <c r="D100" s="20"/>
      <c r="E100" s="20"/>
      <c r="F100" s="15"/>
      <c r="G100" s="15"/>
      <c r="H100" s="15"/>
      <c r="I100" s="15"/>
      <c r="J100" s="20"/>
      <c r="K100" s="8"/>
      <c r="L100" s="8"/>
    </row>
    <row r="101" spans="1:12" ht="15.75" thickBot="1">
      <c r="A101" s="8">
        <v>35</v>
      </c>
      <c r="B101" s="8" t="s">
        <v>28</v>
      </c>
      <c r="C101" s="8" t="s">
        <v>12</v>
      </c>
      <c r="D101" s="29">
        <v>6487.7</v>
      </c>
      <c r="E101" s="29">
        <v>165.28</v>
      </c>
      <c r="F101" s="28">
        <v>2.86</v>
      </c>
      <c r="G101" s="28">
        <v>2.93</v>
      </c>
      <c r="H101" s="28">
        <v>2.75</v>
      </c>
      <c r="I101" s="28">
        <v>0</v>
      </c>
      <c r="J101" s="29">
        <f>SUM(D101:I101)</f>
        <v>6661.5199999999995</v>
      </c>
      <c r="K101" s="8"/>
      <c r="L101" s="8"/>
    </row>
    <row r="102" spans="1:12">
      <c r="A102" s="8"/>
      <c r="B102" s="8"/>
      <c r="C102" s="8"/>
      <c r="D102" s="20"/>
      <c r="E102" s="20"/>
      <c r="F102" s="15"/>
      <c r="G102" s="15"/>
      <c r="H102" s="15"/>
      <c r="I102" s="15"/>
      <c r="J102" s="20"/>
      <c r="K102" s="8"/>
      <c r="L102" s="8"/>
    </row>
    <row r="103" spans="1:12" ht="15.75" thickBot="1">
      <c r="A103" s="8"/>
      <c r="B103" s="8"/>
      <c r="C103" s="8" t="s">
        <v>10</v>
      </c>
      <c r="D103" s="31">
        <f t="shared" ref="D103:I103" si="14">SUM(D101:D102)</f>
        <v>6487.7</v>
      </c>
      <c r="E103" s="31">
        <f t="shared" si="14"/>
        <v>165.28</v>
      </c>
      <c r="F103" s="30">
        <f t="shared" si="14"/>
        <v>2.86</v>
      </c>
      <c r="G103" s="30">
        <f t="shared" si="14"/>
        <v>2.93</v>
      </c>
      <c r="H103" s="30">
        <f t="shared" si="14"/>
        <v>2.75</v>
      </c>
      <c r="I103" s="30">
        <f t="shared" si="14"/>
        <v>0</v>
      </c>
      <c r="J103" s="31">
        <f>SUM(D103:I103)</f>
        <v>6661.5199999999995</v>
      </c>
      <c r="K103" s="8"/>
      <c r="L103" s="8"/>
    </row>
    <row r="104" spans="1:12" ht="15.75" thickTop="1">
      <c r="A104" s="8"/>
      <c r="B104" s="8"/>
      <c r="C104" s="8"/>
      <c r="D104" s="20"/>
      <c r="E104" s="20"/>
      <c r="F104" s="15"/>
      <c r="G104" s="15"/>
      <c r="H104" s="15"/>
      <c r="I104" s="15"/>
      <c r="J104" s="20"/>
      <c r="K104" s="8"/>
      <c r="L104" s="8"/>
    </row>
    <row r="105" spans="1:12">
      <c r="A105" s="8"/>
      <c r="B105" s="8"/>
      <c r="C105" s="8"/>
      <c r="D105" s="20"/>
      <c r="E105" s="20"/>
      <c r="F105" s="15"/>
      <c r="G105" s="15"/>
      <c r="H105" s="15"/>
      <c r="I105" s="15"/>
      <c r="J105" s="20"/>
      <c r="K105" s="8"/>
      <c r="L105" s="8"/>
    </row>
    <row r="106" spans="1:12">
      <c r="A106" s="8">
        <v>36</v>
      </c>
      <c r="B106" s="8" t="s">
        <v>29</v>
      </c>
      <c r="C106" s="8" t="s">
        <v>12</v>
      </c>
      <c r="D106" s="20">
        <v>9033.0499999999993</v>
      </c>
      <c r="E106" s="20">
        <v>184.68</v>
      </c>
      <c r="F106" s="15">
        <v>168.96</v>
      </c>
      <c r="G106" s="15">
        <v>34.869999999999997</v>
      </c>
      <c r="H106" s="15">
        <v>0</v>
      </c>
      <c r="I106" s="15">
        <v>0</v>
      </c>
      <c r="J106" s="20">
        <f>SUM(D106:I106)</f>
        <v>9421.56</v>
      </c>
      <c r="K106" s="8"/>
      <c r="L106" s="8"/>
    </row>
    <row r="107" spans="1:12">
      <c r="A107" s="8"/>
      <c r="B107" s="8"/>
      <c r="C107" s="38" t="s">
        <v>13</v>
      </c>
      <c r="D107" s="20">
        <v>172.07</v>
      </c>
      <c r="E107" s="20">
        <v>7.26</v>
      </c>
      <c r="F107" s="15">
        <v>6.63</v>
      </c>
      <c r="G107" s="15">
        <v>1.9</v>
      </c>
      <c r="H107" s="15">
        <v>0</v>
      </c>
      <c r="I107" s="15">
        <v>0</v>
      </c>
      <c r="J107" s="20">
        <f>SUM(D107:I107)</f>
        <v>187.85999999999999</v>
      </c>
      <c r="K107" s="8"/>
      <c r="L107" s="8"/>
    </row>
    <row r="108" spans="1:12" ht="15.75" thickBot="1">
      <c r="A108" s="8"/>
      <c r="B108" s="8"/>
      <c r="C108" s="38" t="s">
        <v>109</v>
      </c>
      <c r="D108" s="29">
        <v>846.99</v>
      </c>
      <c r="E108" s="29">
        <v>0</v>
      </c>
      <c r="F108" s="28">
        <v>0</v>
      </c>
      <c r="G108" s="28">
        <v>0</v>
      </c>
      <c r="H108" s="28">
        <v>0</v>
      </c>
      <c r="I108" s="28">
        <v>0</v>
      </c>
      <c r="J108" s="29">
        <f>SUM(D108:I108)</f>
        <v>846.99</v>
      </c>
      <c r="K108" s="8"/>
      <c r="L108" s="8"/>
    </row>
    <row r="109" spans="1:12">
      <c r="A109" s="8"/>
      <c r="B109" s="8"/>
      <c r="C109" s="8"/>
      <c r="D109" s="20"/>
      <c r="E109" s="20"/>
      <c r="F109" s="15"/>
      <c r="G109" s="15"/>
      <c r="H109" s="15"/>
      <c r="I109" s="15"/>
      <c r="J109" s="20"/>
      <c r="K109" s="8"/>
      <c r="L109" s="8"/>
    </row>
    <row r="110" spans="1:12" ht="15.75" thickBot="1">
      <c r="A110" s="8"/>
      <c r="B110" s="8"/>
      <c r="C110" s="8" t="s">
        <v>10</v>
      </c>
      <c r="D110" s="31">
        <f t="shared" ref="D110:I110" si="15">SUM(D106:D108)</f>
        <v>10052.109999999999</v>
      </c>
      <c r="E110" s="31">
        <f t="shared" si="15"/>
        <v>191.94</v>
      </c>
      <c r="F110" s="30">
        <f t="shared" si="15"/>
        <v>175.59</v>
      </c>
      <c r="G110" s="30">
        <f t="shared" si="15"/>
        <v>36.769999999999996</v>
      </c>
      <c r="H110" s="30">
        <f t="shared" si="15"/>
        <v>0</v>
      </c>
      <c r="I110" s="30">
        <f t="shared" si="15"/>
        <v>0</v>
      </c>
      <c r="J110" s="31">
        <f>SUM(D110:I110)</f>
        <v>10456.41</v>
      </c>
      <c r="K110" s="8"/>
      <c r="L110" s="8"/>
    </row>
    <row r="111" spans="1:12" ht="15.75" thickTop="1">
      <c r="A111" s="8"/>
      <c r="B111" s="8"/>
      <c r="C111" s="8"/>
      <c r="D111" s="20"/>
      <c r="E111" s="20"/>
      <c r="F111" s="15"/>
      <c r="G111" s="15"/>
      <c r="H111" s="15"/>
      <c r="I111" s="15"/>
      <c r="J111" s="20"/>
      <c r="K111" s="8"/>
      <c r="L111" s="8"/>
    </row>
    <row r="112" spans="1:12">
      <c r="A112" s="8"/>
      <c r="B112" s="8"/>
      <c r="C112" s="8"/>
      <c r="D112" s="20"/>
      <c r="E112" s="20"/>
      <c r="F112" s="15"/>
      <c r="G112" s="15"/>
      <c r="H112" s="15"/>
      <c r="I112" s="15"/>
      <c r="J112" s="20"/>
      <c r="K112" s="8"/>
      <c r="L112" s="8"/>
    </row>
    <row r="113" spans="1:12" ht="15.75" thickBot="1">
      <c r="A113" s="8">
        <v>37</v>
      </c>
      <c r="B113" s="8" t="s">
        <v>30</v>
      </c>
      <c r="C113" s="8" t="s">
        <v>12</v>
      </c>
      <c r="D113" s="29">
        <v>12100.98</v>
      </c>
      <c r="E113" s="29">
        <v>509.29</v>
      </c>
      <c r="F113" s="28">
        <v>465.83</v>
      </c>
      <c r="G113" s="28">
        <v>475.64</v>
      </c>
      <c r="H113" s="28">
        <v>476.65</v>
      </c>
      <c r="I113" s="28">
        <v>0</v>
      </c>
      <c r="J113" s="29">
        <f>SUM(D113:I113)</f>
        <v>14028.39</v>
      </c>
      <c r="K113" s="8"/>
      <c r="L113" s="8"/>
    </row>
    <row r="114" spans="1:12">
      <c r="A114" s="8"/>
      <c r="B114" s="8"/>
      <c r="C114" s="8"/>
      <c r="D114" s="20"/>
      <c r="E114" s="20"/>
      <c r="F114" s="15"/>
      <c r="G114" s="15"/>
      <c r="H114" s="15"/>
      <c r="I114" s="15"/>
      <c r="J114" s="20"/>
      <c r="K114" s="8"/>
      <c r="L114" s="8"/>
    </row>
    <row r="115" spans="1:12" ht="15.75" thickBot="1">
      <c r="A115" s="8"/>
      <c r="B115" s="8"/>
      <c r="C115" s="8" t="s">
        <v>10</v>
      </c>
      <c r="D115" s="31">
        <f t="shared" ref="D115:I115" si="16">SUM(D113:D114)</f>
        <v>12100.98</v>
      </c>
      <c r="E115" s="31">
        <f t="shared" si="16"/>
        <v>509.29</v>
      </c>
      <c r="F115" s="30">
        <f t="shared" si="16"/>
        <v>465.83</v>
      </c>
      <c r="G115" s="30">
        <f t="shared" si="16"/>
        <v>475.64</v>
      </c>
      <c r="H115" s="30">
        <f t="shared" si="16"/>
        <v>476.65</v>
      </c>
      <c r="I115" s="30">
        <f t="shared" si="16"/>
        <v>0</v>
      </c>
      <c r="J115" s="31">
        <f>SUM(D115:I115)</f>
        <v>14028.39</v>
      </c>
      <c r="K115" s="8"/>
      <c r="L115" s="8"/>
    </row>
    <row r="116" spans="1:12" ht="15.75" thickTop="1">
      <c r="A116" s="8"/>
      <c r="B116" s="8"/>
      <c r="C116" s="8"/>
      <c r="D116" s="20"/>
      <c r="E116" s="20"/>
      <c r="F116" s="15"/>
      <c r="G116" s="15"/>
      <c r="H116" s="15"/>
      <c r="I116" s="15"/>
      <c r="J116" s="20"/>
      <c r="K116" s="8"/>
      <c r="L116" s="8"/>
    </row>
    <row r="117" spans="1:12">
      <c r="A117" s="8"/>
      <c r="B117" s="8"/>
      <c r="C117" s="8"/>
      <c r="D117" s="20"/>
      <c r="E117" s="20"/>
      <c r="F117" s="15"/>
      <c r="G117" s="15"/>
      <c r="H117" s="15"/>
      <c r="I117" s="15"/>
      <c r="J117" s="20"/>
      <c r="K117" s="8"/>
      <c r="L117" s="8"/>
    </row>
    <row r="118" spans="1:12">
      <c r="A118" s="8">
        <v>38</v>
      </c>
      <c r="B118" s="8" t="s">
        <v>31</v>
      </c>
      <c r="C118" s="8" t="s">
        <v>12</v>
      </c>
      <c r="D118" s="20">
        <v>9777.59</v>
      </c>
      <c r="E118" s="20">
        <v>425.93</v>
      </c>
      <c r="F118" s="15">
        <v>207.17</v>
      </c>
      <c r="G118" s="15">
        <v>0</v>
      </c>
      <c r="H118" s="15">
        <v>0</v>
      </c>
      <c r="I118" s="15">
        <v>0</v>
      </c>
      <c r="J118" s="20">
        <f>SUM(D118:I118)</f>
        <v>10410.69</v>
      </c>
      <c r="K118" s="8"/>
      <c r="L118" s="8"/>
    </row>
    <row r="119" spans="1:12">
      <c r="A119" s="8"/>
      <c r="B119" s="8"/>
      <c r="C119" s="8" t="s">
        <v>35</v>
      </c>
      <c r="D119" s="20">
        <v>828.94</v>
      </c>
      <c r="E119" s="20">
        <v>38.92</v>
      </c>
      <c r="F119" s="15">
        <v>19.7</v>
      </c>
      <c r="G119" s="15">
        <v>0</v>
      </c>
      <c r="H119" s="15">
        <v>0</v>
      </c>
      <c r="I119" s="15">
        <v>0</v>
      </c>
      <c r="J119" s="20">
        <f>SUM(D119:I119)</f>
        <v>887.56000000000006</v>
      </c>
      <c r="K119" s="8"/>
      <c r="L119" s="8"/>
    </row>
    <row r="120" spans="1:12">
      <c r="A120" s="8"/>
      <c r="B120" s="8"/>
      <c r="C120" s="8" t="s">
        <v>13</v>
      </c>
      <c r="D120" s="20">
        <v>272.49</v>
      </c>
      <c r="E120" s="20">
        <v>25.75</v>
      </c>
      <c r="F120" s="15">
        <v>12.59</v>
      </c>
      <c r="G120" s="15">
        <v>0</v>
      </c>
      <c r="H120" s="15">
        <v>0</v>
      </c>
      <c r="I120" s="15">
        <v>0</v>
      </c>
      <c r="J120" s="20">
        <f>SUM(D120:I120)</f>
        <v>310.83</v>
      </c>
      <c r="K120" s="8"/>
      <c r="L120" s="8"/>
    </row>
    <row r="121" spans="1:12" ht="15.75" thickBot="1">
      <c r="A121" s="8"/>
      <c r="B121" s="8"/>
      <c r="C121" s="8" t="s">
        <v>78</v>
      </c>
      <c r="D121" s="29">
        <v>857.17</v>
      </c>
      <c r="E121" s="29">
        <v>59.29</v>
      </c>
      <c r="F121" s="28">
        <v>26.99</v>
      </c>
      <c r="G121" s="28">
        <v>0</v>
      </c>
      <c r="H121" s="28">
        <v>0</v>
      </c>
      <c r="I121" s="28">
        <v>0</v>
      </c>
      <c r="J121" s="29">
        <f>SUM(D121:I121)</f>
        <v>943.44999999999993</v>
      </c>
      <c r="K121" s="8"/>
      <c r="L121" s="8"/>
    </row>
    <row r="122" spans="1:12">
      <c r="A122" s="8"/>
      <c r="B122" s="8"/>
      <c r="C122" s="8"/>
      <c r="D122" s="20"/>
      <c r="E122" s="20"/>
      <c r="F122" s="15"/>
      <c r="G122" s="15"/>
      <c r="H122" s="15"/>
      <c r="I122" s="15"/>
      <c r="J122" s="20"/>
      <c r="K122" s="8"/>
      <c r="L122" s="8"/>
    </row>
    <row r="123" spans="1:12" ht="15.75" thickBot="1">
      <c r="A123" s="8"/>
      <c r="B123" s="8"/>
      <c r="C123" s="8" t="s">
        <v>10</v>
      </c>
      <c r="D123" s="31">
        <f t="shared" ref="D123:I123" si="17">SUM(D118:D121)</f>
        <v>11736.19</v>
      </c>
      <c r="E123" s="31">
        <f t="shared" si="17"/>
        <v>549.89</v>
      </c>
      <c r="F123" s="30">
        <f t="shared" si="17"/>
        <v>266.45</v>
      </c>
      <c r="G123" s="30">
        <f t="shared" si="17"/>
        <v>0</v>
      </c>
      <c r="H123" s="30">
        <f t="shared" si="17"/>
        <v>0</v>
      </c>
      <c r="I123" s="30">
        <f t="shared" si="17"/>
        <v>0</v>
      </c>
      <c r="J123" s="31">
        <f>SUM(D123:I123)</f>
        <v>12552.53</v>
      </c>
      <c r="K123" s="8"/>
      <c r="L123" s="8"/>
    </row>
    <row r="124" spans="1:12" ht="15.75" thickTop="1">
      <c r="A124" s="8"/>
      <c r="B124" s="8"/>
      <c r="C124" s="8"/>
      <c r="D124" s="20"/>
      <c r="E124" s="20"/>
      <c r="F124" s="15"/>
      <c r="G124" s="15"/>
      <c r="H124" s="15"/>
      <c r="I124" s="15"/>
      <c r="J124" s="20"/>
      <c r="K124" s="8"/>
      <c r="L124" s="8"/>
    </row>
    <row r="125" spans="1:12">
      <c r="A125" s="8"/>
      <c r="B125" s="8"/>
      <c r="C125" s="8"/>
      <c r="D125" s="20"/>
      <c r="E125" s="20"/>
      <c r="F125" s="15"/>
      <c r="G125" s="15"/>
      <c r="H125" s="15"/>
      <c r="I125" s="15"/>
      <c r="J125" s="20"/>
      <c r="K125" s="8"/>
      <c r="L125" s="8"/>
    </row>
    <row r="126" spans="1:12" ht="15.75" thickBot="1">
      <c r="A126" s="8">
        <v>39</v>
      </c>
      <c r="B126" s="8" t="s">
        <v>32</v>
      </c>
      <c r="C126" s="8" t="s">
        <v>12</v>
      </c>
      <c r="D126" s="29"/>
      <c r="E126" s="29">
        <v>0</v>
      </c>
      <c r="F126" s="28">
        <v>0</v>
      </c>
      <c r="G126" s="28">
        <v>0</v>
      </c>
      <c r="H126" s="28">
        <v>0</v>
      </c>
      <c r="I126" s="28">
        <v>0</v>
      </c>
      <c r="J126" s="29">
        <f>SUM(D126:I126)</f>
        <v>0</v>
      </c>
      <c r="K126" s="8"/>
      <c r="L126" s="8"/>
    </row>
    <row r="127" spans="1:12">
      <c r="A127" s="8"/>
      <c r="B127" s="8"/>
      <c r="C127" s="8"/>
      <c r="D127" s="20"/>
      <c r="E127" s="20"/>
      <c r="F127" s="15"/>
      <c r="G127" s="15"/>
      <c r="H127" s="15"/>
      <c r="I127" s="15"/>
      <c r="J127" s="20"/>
      <c r="K127" s="8"/>
      <c r="L127" s="8"/>
    </row>
    <row r="128" spans="1:12" ht="15.75" thickBot="1">
      <c r="A128" s="8"/>
      <c r="B128" s="8"/>
      <c r="C128" s="8" t="s">
        <v>10</v>
      </c>
      <c r="D128" s="31">
        <f>D126</f>
        <v>0</v>
      </c>
      <c r="E128" s="31">
        <f t="shared" ref="E128:J128" si="18">E126</f>
        <v>0</v>
      </c>
      <c r="F128" s="30">
        <f t="shared" si="18"/>
        <v>0</v>
      </c>
      <c r="G128" s="30">
        <f t="shared" si="18"/>
        <v>0</v>
      </c>
      <c r="H128" s="30">
        <f t="shared" si="18"/>
        <v>0</v>
      </c>
      <c r="I128" s="30">
        <f t="shared" si="18"/>
        <v>0</v>
      </c>
      <c r="J128" s="30">
        <f t="shared" si="18"/>
        <v>0</v>
      </c>
      <c r="K128" s="8"/>
      <c r="L128" s="8"/>
    </row>
    <row r="129" spans="1:12" ht="15.75" thickTop="1">
      <c r="A129" s="8"/>
      <c r="B129" s="8"/>
      <c r="C129" s="8"/>
      <c r="D129" s="20"/>
      <c r="E129" s="20"/>
      <c r="F129" s="15"/>
      <c r="G129" s="15"/>
      <c r="H129" s="15"/>
      <c r="I129" s="15"/>
      <c r="J129" s="20"/>
      <c r="K129" s="8"/>
      <c r="L129" s="8"/>
    </row>
    <row r="130" spans="1:12">
      <c r="A130" s="8"/>
      <c r="B130" s="8"/>
      <c r="C130" s="8"/>
      <c r="D130" s="20"/>
      <c r="E130" s="20"/>
      <c r="F130" s="15"/>
      <c r="G130" s="15"/>
      <c r="H130" s="15"/>
      <c r="I130" s="15"/>
      <c r="J130" s="20"/>
      <c r="K130" s="8"/>
      <c r="L130" s="8"/>
    </row>
    <row r="131" spans="1:12" ht="15.75" thickBot="1">
      <c r="A131" s="8">
        <v>40</v>
      </c>
      <c r="B131" s="8" t="s">
        <v>33</v>
      </c>
      <c r="C131" s="8" t="s">
        <v>12</v>
      </c>
      <c r="D131" s="29">
        <v>9790.09</v>
      </c>
      <c r="E131" s="29">
        <v>10.79</v>
      </c>
      <c r="F131" s="28">
        <v>10.87</v>
      </c>
      <c r="G131" s="28">
        <v>0</v>
      </c>
      <c r="H131" s="28">
        <v>0</v>
      </c>
      <c r="I131" s="28">
        <v>0</v>
      </c>
      <c r="J131" s="29">
        <f>SUM(D131:I131)</f>
        <v>9811.7500000000018</v>
      </c>
      <c r="K131" s="8"/>
      <c r="L131" s="8"/>
    </row>
    <row r="132" spans="1:12">
      <c r="A132" s="8"/>
      <c r="B132" s="8"/>
      <c r="C132" s="8"/>
      <c r="D132" s="20"/>
      <c r="E132" s="20"/>
      <c r="F132" s="15"/>
      <c r="G132" s="15"/>
      <c r="H132" s="15"/>
      <c r="I132" s="15"/>
      <c r="J132" s="20"/>
      <c r="K132" s="8"/>
      <c r="L132" s="8"/>
    </row>
    <row r="133" spans="1:12" ht="15.75" thickBot="1">
      <c r="A133" s="8"/>
      <c r="B133" s="8"/>
      <c r="C133" s="8" t="s">
        <v>10</v>
      </c>
      <c r="D133" s="31">
        <f t="shared" ref="D133:I133" si="19">SUM(D131:D132)</f>
        <v>9790.09</v>
      </c>
      <c r="E133" s="31">
        <f t="shared" si="19"/>
        <v>10.79</v>
      </c>
      <c r="F133" s="30">
        <f t="shared" si="19"/>
        <v>10.87</v>
      </c>
      <c r="G133" s="30">
        <f t="shared" si="19"/>
        <v>0</v>
      </c>
      <c r="H133" s="30">
        <f t="shared" si="19"/>
        <v>0</v>
      </c>
      <c r="I133" s="30">
        <f t="shared" si="19"/>
        <v>0</v>
      </c>
      <c r="J133" s="31">
        <f>SUM(D133:I133)</f>
        <v>9811.7500000000018</v>
      </c>
      <c r="K133" s="8"/>
      <c r="L133" s="8"/>
    </row>
    <row r="134" spans="1:12" ht="15.75" thickTop="1">
      <c r="A134" s="8"/>
      <c r="B134" s="8"/>
      <c r="C134" s="8"/>
      <c r="D134" s="20"/>
      <c r="E134" s="20"/>
      <c r="F134" s="15"/>
      <c r="G134" s="15"/>
      <c r="H134" s="15"/>
      <c r="I134" s="15"/>
      <c r="J134" s="20"/>
      <c r="K134" s="8"/>
      <c r="L134" s="8"/>
    </row>
    <row r="135" spans="1:12">
      <c r="A135" s="8"/>
      <c r="B135" s="8"/>
      <c r="C135" s="8"/>
      <c r="D135" s="20"/>
      <c r="E135" s="20"/>
      <c r="F135" s="15"/>
      <c r="G135" s="15"/>
      <c r="H135" s="15"/>
      <c r="I135" s="15"/>
      <c r="J135" s="20"/>
      <c r="K135" s="8"/>
      <c r="L135" s="8"/>
    </row>
    <row r="136" spans="1:12">
      <c r="A136" s="8">
        <v>41</v>
      </c>
      <c r="B136" s="8" t="s">
        <v>34</v>
      </c>
      <c r="C136" s="8" t="s">
        <v>12</v>
      </c>
      <c r="D136" s="20">
        <v>8292.33</v>
      </c>
      <c r="E136" s="20">
        <v>183.32</v>
      </c>
      <c r="F136" s="15">
        <v>142.97</v>
      </c>
      <c r="G136" s="15">
        <v>0</v>
      </c>
      <c r="H136" s="15">
        <v>0</v>
      </c>
      <c r="I136" s="15">
        <v>0</v>
      </c>
      <c r="J136" s="20">
        <f>SUM(D136:I136)</f>
        <v>8618.619999999999</v>
      </c>
      <c r="K136" s="8"/>
      <c r="L136" s="8"/>
    </row>
    <row r="137" spans="1:12">
      <c r="A137" s="8"/>
      <c r="B137" s="8"/>
      <c r="C137" s="38" t="s">
        <v>35</v>
      </c>
      <c r="D137" s="20">
        <v>460.55</v>
      </c>
      <c r="E137" s="20">
        <v>6.95</v>
      </c>
      <c r="F137" s="15">
        <v>5.67</v>
      </c>
      <c r="G137" s="15">
        <v>0</v>
      </c>
      <c r="H137" s="15">
        <v>0</v>
      </c>
      <c r="I137" s="15">
        <v>0</v>
      </c>
      <c r="J137" s="20">
        <f>SUM(D137:I137)</f>
        <v>473.17</v>
      </c>
      <c r="K137" s="8"/>
      <c r="L137" s="8"/>
    </row>
    <row r="138" spans="1:12" ht="15.75" thickBot="1">
      <c r="A138" s="8"/>
      <c r="B138" s="8"/>
      <c r="C138" s="38" t="s">
        <v>109</v>
      </c>
      <c r="D138" s="29">
        <v>884.53</v>
      </c>
      <c r="E138" s="29">
        <v>0</v>
      </c>
      <c r="F138" s="28">
        <v>0</v>
      </c>
      <c r="G138" s="28">
        <v>0</v>
      </c>
      <c r="H138" s="28">
        <v>0</v>
      </c>
      <c r="I138" s="28">
        <v>0</v>
      </c>
      <c r="J138" s="29">
        <f>SUM(D138:I138)</f>
        <v>884.53</v>
      </c>
      <c r="K138" s="8"/>
      <c r="L138" s="8"/>
    </row>
    <row r="139" spans="1:12">
      <c r="A139" s="8"/>
      <c r="B139" s="8"/>
      <c r="C139" s="8"/>
      <c r="D139" s="20"/>
      <c r="E139" s="20"/>
      <c r="F139" s="15"/>
      <c r="G139" s="15"/>
      <c r="H139" s="15"/>
      <c r="I139" s="15"/>
      <c r="J139" s="20"/>
      <c r="K139" s="8"/>
      <c r="L139" s="8"/>
    </row>
    <row r="140" spans="1:12" ht="15.75" thickBot="1">
      <c r="A140" s="8"/>
      <c r="B140" s="8"/>
      <c r="C140" s="8" t="s">
        <v>10</v>
      </c>
      <c r="D140" s="31">
        <f t="shared" ref="D140:I140" si="20">SUM(D136:D138)</f>
        <v>9637.41</v>
      </c>
      <c r="E140" s="31">
        <f t="shared" si="20"/>
        <v>190.26999999999998</v>
      </c>
      <c r="F140" s="30">
        <f t="shared" si="20"/>
        <v>148.63999999999999</v>
      </c>
      <c r="G140" s="30">
        <f t="shared" si="20"/>
        <v>0</v>
      </c>
      <c r="H140" s="30">
        <f t="shared" si="20"/>
        <v>0</v>
      </c>
      <c r="I140" s="30">
        <f t="shared" si="20"/>
        <v>0</v>
      </c>
      <c r="J140" s="31">
        <f>SUM(D140:I140)</f>
        <v>9976.32</v>
      </c>
      <c r="K140" s="8"/>
      <c r="L140" s="8"/>
    </row>
    <row r="141" spans="1:12" ht="15.75" thickTop="1">
      <c r="A141" s="8"/>
      <c r="B141" s="8"/>
      <c r="C141" s="8"/>
      <c r="D141" s="20"/>
      <c r="E141" s="20"/>
      <c r="F141" s="15"/>
      <c r="G141" s="15"/>
      <c r="H141" s="15"/>
      <c r="I141" s="15"/>
      <c r="J141" s="20"/>
      <c r="K141" s="8"/>
      <c r="L141" s="8"/>
    </row>
    <row r="142" spans="1:12">
      <c r="A142" s="8"/>
      <c r="B142" s="8"/>
      <c r="C142" s="8"/>
      <c r="D142" s="20"/>
      <c r="E142" s="20"/>
      <c r="F142" s="15"/>
      <c r="G142" s="15"/>
      <c r="H142" s="15"/>
      <c r="I142" s="15"/>
      <c r="J142" s="20"/>
      <c r="K142" s="8"/>
      <c r="L142" s="8"/>
    </row>
    <row r="143" spans="1:12">
      <c r="A143" s="8">
        <v>42</v>
      </c>
      <c r="B143" s="8" t="s">
        <v>36</v>
      </c>
      <c r="C143" s="8" t="s">
        <v>12</v>
      </c>
      <c r="D143" s="20">
        <v>12053.21</v>
      </c>
      <c r="E143" s="20">
        <v>520.82000000000005</v>
      </c>
      <c r="F143" s="40">
        <v>58.12</v>
      </c>
      <c r="G143" s="15">
        <v>0</v>
      </c>
      <c r="H143" s="15">
        <v>0</v>
      </c>
      <c r="I143" s="15">
        <v>0</v>
      </c>
      <c r="J143" s="20">
        <f>SUM(D143:I143)</f>
        <v>12632.15</v>
      </c>
      <c r="K143" s="8"/>
      <c r="L143" s="8"/>
    </row>
    <row r="144" spans="1:12" ht="15.75" thickBot="1">
      <c r="A144" s="8"/>
      <c r="B144" s="8"/>
      <c r="C144" s="8" t="s">
        <v>13</v>
      </c>
      <c r="D144" s="29">
        <v>463.76</v>
      </c>
      <c r="E144" s="29">
        <v>17.53</v>
      </c>
      <c r="F144" s="28">
        <v>3.13</v>
      </c>
      <c r="G144" s="28">
        <v>0</v>
      </c>
      <c r="H144" s="28">
        <v>0</v>
      </c>
      <c r="I144" s="28">
        <v>0</v>
      </c>
      <c r="J144" s="29">
        <f>SUM(D144:I144)</f>
        <v>484.41999999999996</v>
      </c>
      <c r="K144" s="8"/>
      <c r="L144" s="8"/>
    </row>
    <row r="145" spans="1:12">
      <c r="A145" s="8"/>
      <c r="B145" s="8"/>
      <c r="C145" s="8"/>
      <c r="D145" s="20"/>
      <c r="E145" s="20"/>
      <c r="F145" s="15"/>
      <c r="G145" s="15"/>
      <c r="H145" s="15"/>
      <c r="I145" s="15"/>
      <c r="J145" s="20"/>
      <c r="K145" s="8"/>
      <c r="L145" s="8"/>
    </row>
    <row r="146" spans="1:12" ht="15.75" thickBot="1">
      <c r="A146" s="8"/>
      <c r="B146" s="8"/>
      <c r="C146" s="8" t="s">
        <v>10</v>
      </c>
      <c r="D146" s="31">
        <f t="shared" ref="D146:I146" si="21">SUM(D143:D144)</f>
        <v>12516.97</v>
      </c>
      <c r="E146" s="31">
        <f t="shared" si="21"/>
        <v>538.35</v>
      </c>
      <c r="F146" s="30">
        <f t="shared" si="21"/>
        <v>61.25</v>
      </c>
      <c r="G146" s="30">
        <f t="shared" si="21"/>
        <v>0</v>
      </c>
      <c r="H146" s="30">
        <f t="shared" si="21"/>
        <v>0</v>
      </c>
      <c r="I146" s="30">
        <f t="shared" si="21"/>
        <v>0</v>
      </c>
      <c r="J146" s="31">
        <f>SUM(D146:I146)</f>
        <v>13116.57</v>
      </c>
      <c r="K146" s="8"/>
      <c r="L146" s="8"/>
    </row>
    <row r="147" spans="1:12" ht="15.75" thickTop="1">
      <c r="A147" s="8"/>
      <c r="B147" s="8"/>
      <c r="C147" s="8"/>
      <c r="D147" s="20"/>
      <c r="E147" s="20"/>
      <c r="F147" s="15"/>
      <c r="G147" s="15"/>
      <c r="H147" s="15"/>
      <c r="I147" s="15"/>
      <c r="J147" s="20"/>
      <c r="K147" s="8"/>
      <c r="L147" s="8"/>
    </row>
    <row r="148" spans="1:12">
      <c r="A148" s="8"/>
      <c r="B148" s="8"/>
      <c r="C148" s="8"/>
      <c r="D148" s="20"/>
      <c r="E148" s="20"/>
      <c r="F148" s="15"/>
      <c r="G148" s="15"/>
      <c r="H148" s="15"/>
      <c r="I148" s="15"/>
      <c r="J148" s="20"/>
      <c r="K148" s="8"/>
      <c r="L148" s="8"/>
    </row>
    <row r="149" spans="1:12">
      <c r="A149" s="8">
        <v>43</v>
      </c>
      <c r="B149" s="8" t="s">
        <v>37</v>
      </c>
      <c r="C149" s="8" t="s">
        <v>12</v>
      </c>
      <c r="D149" s="20">
        <v>6692.17</v>
      </c>
      <c r="E149" s="20">
        <v>0</v>
      </c>
      <c r="F149" s="15">
        <v>0</v>
      </c>
      <c r="G149" s="15">
        <v>0</v>
      </c>
      <c r="H149" s="15">
        <v>0</v>
      </c>
      <c r="I149" s="15">
        <v>0</v>
      </c>
      <c r="J149" s="20">
        <f>SUM(D149:I149)</f>
        <v>6692.17</v>
      </c>
      <c r="K149" s="8"/>
      <c r="L149" s="8"/>
    </row>
    <row r="150" spans="1:12">
      <c r="A150" s="8"/>
      <c r="B150" s="8"/>
      <c r="C150" s="8" t="s">
        <v>35</v>
      </c>
      <c r="D150" s="20">
        <v>411.07</v>
      </c>
      <c r="E150" s="20">
        <v>0</v>
      </c>
      <c r="F150" s="15">
        <v>0</v>
      </c>
      <c r="G150" s="15">
        <v>0</v>
      </c>
      <c r="H150" s="15">
        <v>0</v>
      </c>
      <c r="I150" s="15">
        <v>0</v>
      </c>
      <c r="J150" s="20">
        <f>SUM(D150:I150)</f>
        <v>411.07</v>
      </c>
      <c r="K150" s="8"/>
      <c r="L150" s="8"/>
    </row>
    <row r="151" spans="1:12">
      <c r="A151" s="8"/>
      <c r="B151" s="8"/>
      <c r="C151" s="8" t="s">
        <v>13</v>
      </c>
      <c r="D151" s="20">
        <v>193.66</v>
      </c>
      <c r="E151" s="20">
        <v>0</v>
      </c>
      <c r="F151" s="15">
        <v>0</v>
      </c>
      <c r="G151" s="15">
        <v>0</v>
      </c>
      <c r="H151" s="15">
        <v>0</v>
      </c>
      <c r="I151" s="15">
        <v>0</v>
      </c>
      <c r="J151" s="20">
        <f>SUM(D151:I151)</f>
        <v>193.66</v>
      </c>
      <c r="K151" s="8"/>
      <c r="L151" s="8"/>
    </row>
    <row r="152" spans="1:12" ht="15.75" thickBot="1">
      <c r="A152" s="8"/>
      <c r="B152" s="8"/>
      <c r="C152" s="8" t="s">
        <v>78</v>
      </c>
      <c r="D152" s="29">
        <v>1234.27</v>
      </c>
      <c r="E152" s="29">
        <v>0</v>
      </c>
      <c r="F152" s="28">
        <v>0</v>
      </c>
      <c r="G152" s="28">
        <v>0</v>
      </c>
      <c r="H152" s="28">
        <v>0</v>
      </c>
      <c r="I152" s="28">
        <v>0</v>
      </c>
      <c r="J152" s="29">
        <f>SUM(D152:I152)</f>
        <v>1234.27</v>
      </c>
      <c r="K152" s="8"/>
      <c r="L152" s="8"/>
    </row>
    <row r="153" spans="1:12">
      <c r="A153" s="8"/>
      <c r="B153" s="8"/>
      <c r="C153" s="8"/>
      <c r="D153" s="20"/>
      <c r="E153" s="20"/>
      <c r="F153" s="15"/>
      <c r="G153" s="15"/>
      <c r="H153" s="15"/>
      <c r="I153" s="15"/>
      <c r="J153" s="20"/>
      <c r="K153" s="8"/>
      <c r="L153" s="8"/>
    </row>
    <row r="154" spans="1:12" ht="15.75" thickBot="1">
      <c r="A154" s="8"/>
      <c r="B154" s="8"/>
      <c r="C154" s="8" t="s">
        <v>10</v>
      </c>
      <c r="D154" s="31">
        <f t="shared" ref="D154:I154" si="22">SUM(D149:D152)</f>
        <v>8531.17</v>
      </c>
      <c r="E154" s="31">
        <f>SUM(E149:E152)</f>
        <v>0</v>
      </c>
      <c r="F154" s="30">
        <f t="shared" si="22"/>
        <v>0</v>
      </c>
      <c r="G154" s="30">
        <f t="shared" si="22"/>
        <v>0</v>
      </c>
      <c r="H154" s="30">
        <f t="shared" si="22"/>
        <v>0</v>
      </c>
      <c r="I154" s="30">
        <f t="shared" si="22"/>
        <v>0</v>
      </c>
      <c r="J154" s="31">
        <f>SUM(D154:I154)</f>
        <v>8531.17</v>
      </c>
      <c r="K154" s="8"/>
      <c r="L154" s="8"/>
    </row>
    <row r="155" spans="1:12" ht="15.75" thickTop="1">
      <c r="A155" s="8"/>
      <c r="B155" s="8"/>
      <c r="C155" s="8"/>
      <c r="D155" s="20"/>
      <c r="E155" s="20"/>
      <c r="F155" s="15"/>
      <c r="G155" s="15"/>
      <c r="H155" s="15"/>
      <c r="I155" s="15"/>
      <c r="J155" s="20"/>
      <c r="K155" s="8"/>
      <c r="L155" s="8"/>
    </row>
    <row r="156" spans="1:12">
      <c r="A156" s="8"/>
      <c r="B156" s="8"/>
      <c r="C156" s="8"/>
      <c r="D156" s="20"/>
      <c r="E156" s="20"/>
      <c r="F156" s="15"/>
      <c r="G156" s="15"/>
      <c r="H156" s="15"/>
      <c r="I156" s="15"/>
      <c r="J156" s="20"/>
      <c r="K156" s="8"/>
      <c r="L156" s="8"/>
    </row>
    <row r="157" spans="1:12" ht="15.75" thickBot="1">
      <c r="A157" s="8">
        <v>44</v>
      </c>
      <c r="B157" s="8" t="s">
        <v>38</v>
      </c>
      <c r="C157" s="8" t="s">
        <v>12</v>
      </c>
      <c r="D157" s="29">
        <v>16401.41</v>
      </c>
      <c r="E157" s="29">
        <v>589.4</v>
      </c>
      <c r="F157" s="28">
        <v>261.2</v>
      </c>
      <c r="G157" s="28">
        <v>0</v>
      </c>
      <c r="H157" s="28">
        <v>0</v>
      </c>
      <c r="I157" s="28">
        <v>0</v>
      </c>
      <c r="J157" s="29">
        <f>SUM(D157:I157)</f>
        <v>17252.010000000002</v>
      </c>
      <c r="K157" s="8"/>
      <c r="L157" s="8"/>
    </row>
    <row r="158" spans="1:12">
      <c r="A158" s="8"/>
      <c r="B158" s="8"/>
      <c r="C158" s="8"/>
      <c r="D158" s="20"/>
      <c r="E158" s="20"/>
      <c r="F158" s="15"/>
      <c r="G158" s="15"/>
      <c r="H158" s="15"/>
      <c r="I158" s="15"/>
      <c r="J158" s="20"/>
      <c r="K158" s="8"/>
      <c r="L158" s="8"/>
    </row>
    <row r="159" spans="1:12" ht="15.75" thickBot="1">
      <c r="A159" s="8"/>
      <c r="B159" s="8"/>
      <c r="C159" s="8" t="s">
        <v>10</v>
      </c>
      <c r="D159" s="31">
        <f t="shared" ref="D159:I159" si="23">SUM(D157:D158)</f>
        <v>16401.41</v>
      </c>
      <c r="E159" s="31">
        <f t="shared" si="23"/>
        <v>589.4</v>
      </c>
      <c r="F159" s="30">
        <f t="shared" si="23"/>
        <v>261.2</v>
      </c>
      <c r="G159" s="30">
        <f t="shared" si="23"/>
        <v>0</v>
      </c>
      <c r="H159" s="30">
        <f t="shared" si="23"/>
        <v>0</v>
      </c>
      <c r="I159" s="30">
        <f t="shared" si="23"/>
        <v>0</v>
      </c>
      <c r="J159" s="31">
        <f>SUM(D159:I159)</f>
        <v>17252.010000000002</v>
      </c>
      <c r="K159" s="8"/>
      <c r="L159" s="8"/>
    </row>
    <row r="160" spans="1:12" ht="15.75" thickTop="1">
      <c r="A160" s="8"/>
      <c r="B160" s="8"/>
      <c r="C160" s="8"/>
      <c r="D160" s="20"/>
      <c r="E160" s="20"/>
      <c r="F160" s="15"/>
      <c r="G160" s="15" t="s">
        <v>70</v>
      </c>
      <c r="H160" s="15" t="s">
        <v>70</v>
      </c>
      <c r="I160" s="15" t="s">
        <v>70</v>
      </c>
      <c r="J160" s="20"/>
      <c r="K160" s="8"/>
      <c r="L160" s="8"/>
    </row>
    <row r="161" spans="1:12">
      <c r="A161" s="8"/>
      <c r="B161" s="8"/>
      <c r="C161" s="8"/>
      <c r="D161" s="20"/>
      <c r="E161" s="20"/>
      <c r="F161" s="15"/>
      <c r="G161" s="15"/>
      <c r="H161" s="15"/>
      <c r="I161" s="15"/>
      <c r="J161" s="20"/>
      <c r="K161" s="8"/>
      <c r="L161" s="8"/>
    </row>
    <row r="162" spans="1:12" ht="15.75" thickBot="1">
      <c r="A162" s="8">
        <v>45</v>
      </c>
      <c r="B162" s="8" t="s">
        <v>39</v>
      </c>
      <c r="C162" s="8" t="s">
        <v>12</v>
      </c>
      <c r="D162" s="29">
        <v>14412.49</v>
      </c>
      <c r="E162" s="29">
        <v>365.31</v>
      </c>
      <c r="F162" s="28">
        <v>365.31</v>
      </c>
      <c r="G162" s="28">
        <v>0</v>
      </c>
      <c r="H162" s="28">
        <v>0</v>
      </c>
      <c r="I162" s="28">
        <v>0</v>
      </c>
      <c r="J162" s="29">
        <f>SUM(D162:I162)</f>
        <v>15143.109999999999</v>
      </c>
      <c r="K162" s="8"/>
      <c r="L162" s="8"/>
    </row>
    <row r="163" spans="1:12">
      <c r="A163" s="8"/>
      <c r="B163" s="8"/>
      <c r="C163" s="8"/>
      <c r="D163" s="20"/>
      <c r="E163" s="20"/>
      <c r="F163" s="15"/>
      <c r="G163" s="15"/>
      <c r="H163" s="15"/>
      <c r="I163" s="15"/>
      <c r="J163" s="20"/>
      <c r="K163" s="8"/>
      <c r="L163" s="8"/>
    </row>
    <row r="164" spans="1:12" ht="15.75" thickBot="1">
      <c r="A164" s="8"/>
      <c r="B164" s="8"/>
      <c r="C164" s="8" t="s">
        <v>10</v>
      </c>
      <c r="D164" s="31">
        <f t="shared" ref="D164:I164" si="24">SUM(D162:D163)</f>
        <v>14412.49</v>
      </c>
      <c r="E164" s="31">
        <f t="shared" si="24"/>
        <v>365.31</v>
      </c>
      <c r="F164" s="30">
        <f t="shared" si="24"/>
        <v>365.31</v>
      </c>
      <c r="G164" s="30">
        <f t="shared" si="24"/>
        <v>0</v>
      </c>
      <c r="H164" s="30">
        <f t="shared" si="24"/>
        <v>0</v>
      </c>
      <c r="I164" s="30">
        <f t="shared" si="24"/>
        <v>0</v>
      </c>
      <c r="J164" s="31">
        <f>SUM(D164:I164)</f>
        <v>15143.109999999999</v>
      </c>
      <c r="K164" s="8"/>
      <c r="L164" s="8"/>
    </row>
    <row r="165" spans="1:12" ht="15.75" thickTop="1">
      <c r="A165" s="8"/>
      <c r="B165" s="8"/>
      <c r="C165" s="8"/>
      <c r="D165" s="20"/>
      <c r="E165" s="20"/>
      <c r="F165" s="15"/>
      <c r="G165" s="15"/>
      <c r="H165" s="15"/>
      <c r="I165" s="15"/>
      <c r="J165" s="20"/>
      <c r="K165" s="8"/>
      <c r="L165" s="8"/>
    </row>
    <row r="166" spans="1:12">
      <c r="A166" s="8"/>
      <c r="B166" s="8"/>
      <c r="C166" s="8"/>
      <c r="D166" s="20"/>
      <c r="E166" s="20"/>
      <c r="F166" s="15"/>
      <c r="G166" s="15"/>
      <c r="H166" s="15"/>
      <c r="I166" s="15"/>
      <c r="J166" s="20"/>
      <c r="K166" s="8"/>
      <c r="L166" s="8"/>
    </row>
    <row r="167" spans="1:12" ht="15.75" thickBot="1">
      <c r="A167" s="8">
        <v>46</v>
      </c>
      <c r="B167" s="8" t="s">
        <v>40</v>
      </c>
      <c r="C167" s="8" t="s">
        <v>12</v>
      </c>
      <c r="D167" s="29">
        <v>6757.01</v>
      </c>
      <c r="E167" s="29">
        <v>159.63999999999999</v>
      </c>
      <c r="F167" s="28">
        <v>21.01</v>
      </c>
      <c r="G167" s="28">
        <v>5.24</v>
      </c>
      <c r="H167" s="28">
        <v>0</v>
      </c>
      <c r="I167" s="28">
        <v>0</v>
      </c>
      <c r="J167" s="29">
        <f>SUM(D167:I167)</f>
        <v>6942.9000000000005</v>
      </c>
      <c r="K167" s="8"/>
      <c r="L167" s="8"/>
    </row>
    <row r="168" spans="1:12">
      <c r="A168" s="8"/>
      <c r="B168" s="8"/>
      <c r="C168" s="8"/>
      <c r="D168" s="20"/>
      <c r="E168" s="20"/>
      <c r="F168" s="15"/>
      <c r="G168" s="15"/>
      <c r="H168" s="15"/>
      <c r="I168" s="15"/>
      <c r="J168" s="20"/>
      <c r="K168" s="8"/>
      <c r="L168" s="8"/>
    </row>
    <row r="169" spans="1:12" ht="15.75" thickBot="1">
      <c r="A169" s="8"/>
      <c r="B169" s="8"/>
      <c r="C169" s="8" t="s">
        <v>10</v>
      </c>
      <c r="D169" s="31">
        <f t="shared" ref="D169:I169" si="25">SUM(D167:D168)</f>
        <v>6757.01</v>
      </c>
      <c r="E169" s="31">
        <f t="shared" si="25"/>
        <v>159.63999999999999</v>
      </c>
      <c r="F169" s="30">
        <f t="shared" si="25"/>
        <v>21.01</v>
      </c>
      <c r="G169" s="30">
        <f t="shared" si="25"/>
        <v>5.24</v>
      </c>
      <c r="H169" s="30">
        <f t="shared" si="25"/>
        <v>0</v>
      </c>
      <c r="I169" s="30">
        <f t="shared" si="25"/>
        <v>0</v>
      </c>
      <c r="J169" s="31">
        <f>SUM(D169:I169)</f>
        <v>6942.9000000000005</v>
      </c>
      <c r="K169" s="8"/>
      <c r="L169" s="8"/>
    </row>
    <row r="170" spans="1:12" ht="15.75" thickTop="1">
      <c r="A170" s="8"/>
      <c r="B170" s="8"/>
      <c r="C170" s="8"/>
      <c r="D170" s="20"/>
      <c r="E170" s="20"/>
      <c r="F170" s="15"/>
      <c r="G170" s="15"/>
      <c r="H170" s="15"/>
      <c r="I170" s="15"/>
      <c r="J170" s="20"/>
      <c r="K170" s="8"/>
      <c r="L170" s="8"/>
    </row>
    <row r="171" spans="1:12">
      <c r="A171" s="8"/>
      <c r="B171" s="8"/>
      <c r="C171" s="8"/>
      <c r="D171" s="20"/>
      <c r="E171" s="20"/>
      <c r="F171" s="15"/>
      <c r="G171" s="15"/>
      <c r="H171" s="15"/>
      <c r="I171" s="15"/>
      <c r="J171" s="20"/>
      <c r="K171" s="8"/>
      <c r="L171" s="8"/>
    </row>
    <row r="172" spans="1:12" ht="15.75" thickBot="1">
      <c r="A172" s="8">
        <v>47</v>
      </c>
      <c r="B172" s="8" t="s">
        <v>41</v>
      </c>
      <c r="C172" s="8" t="s">
        <v>12</v>
      </c>
      <c r="D172" s="29">
        <v>8216.99</v>
      </c>
      <c r="E172" s="29">
        <v>468.8</v>
      </c>
      <c r="F172" s="28">
        <v>292.77</v>
      </c>
      <c r="G172" s="28">
        <v>0</v>
      </c>
      <c r="H172" s="28">
        <v>0</v>
      </c>
      <c r="I172" s="28">
        <v>0</v>
      </c>
      <c r="J172" s="29">
        <f>SUM(D172:I172)</f>
        <v>8978.56</v>
      </c>
      <c r="K172" s="8"/>
      <c r="L172" s="8"/>
    </row>
    <row r="173" spans="1:12">
      <c r="A173" s="8"/>
      <c r="B173" s="8"/>
      <c r="C173" s="8"/>
      <c r="D173" s="20"/>
      <c r="E173" s="20"/>
      <c r="F173" s="15"/>
      <c r="G173" s="15"/>
      <c r="H173" s="15"/>
      <c r="I173" s="15"/>
      <c r="J173" s="20"/>
      <c r="K173" s="8"/>
      <c r="L173" s="8"/>
    </row>
    <row r="174" spans="1:12" ht="15.75" thickBot="1">
      <c r="A174" s="8"/>
      <c r="B174" s="8"/>
      <c r="C174" s="8" t="s">
        <v>10</v>
      </c>
      <c r="D174" s="31">
        <f t="shared" ref="D174:I174" si="26">SUM(D172:D173)</f>
        <v>8216.99</v>
      </c>
      <c r="E174" s="31">
        <f t="shared" si="26"/>
        <v>468.8</v>
      </c>
      <c r="F174" s="30">
        <f t="shared" si="26"/>
        <v>292.77</v>
      </c>
      <c r="G174" s="30">
        <f t="shared" si="26"/>
        <v>0</v>
      </c>
      <c r="H174" s="30">
        <f t="shared" si="26"/>
        <v>0</v>
      </c>
      <c r="I174" s="30">
        <f t="shared" si="26"/>
        <v>0</v>
      </c>
      <c r="J174" s="31">
        <f>SUM(D174:I174)</f>
        <v>8978.56</v>
      </c>
      <c r="K174" s="8"/>
      <c r="L174" s="8"/>
    </row>
    <row r="175" spans="1:12" ht="15.75" thickTop="1">
      <c r="A175" s="8"/>
      <c r="B175" s="8"/>
      <c r="C175" s="8"/>
      <c r="D175" s="20"/>
      <c r="E175" s="20"/>
      <c r="F175" s="15"/>
      <c r="G175" s="15"/>
      <c r="H175" s="15"/>
      <c r="I175" s="15"/>
      <c r="J175" s="20"/>
      <c r="K175" s="8"/>
      <c r="L175" s="8"/>
    </row>
    <row r="176" spans="1:12">
      <c r="A176" s="8"/>
      <c r="B176" s="8"/>
      <c r="C176" s="8"/>
      <c r="D176" s="20"/>
      <c r="E176" s="20"/>
      <c r="F176" s="15"/>
      <c r="G176" s="15"/>
      <c r="H176" s="15"/>
      <c r="I176" s="15"/>
      <c r="J176" s="20"/>
      <c r="K176" s="8"/>
      <c r="L176" s="8"/>
    </row>
    <row r="177" spans="1:12" ht="15.75" thickBot="1">
      <c r="A177" s="8">
        <v>48</v>
      </c>
      <c r="B177" s="8" t="s">
        <v>42</v>
      </c>
      <c r="C177" s="8" t="s">
        <v>12</v>
      </c>
      <c r="D177" s="29">
        <v>9835.2800000000007</v>
      </c>
      <c r="E177" s="29">
        <v>385.3</v>
      </c>
      <c r="F177" s="28">
        <v>0</v>
      </c>
      <c r="G177" s="28">
        <v>0</v>
      </c>
      <c r="H177" s="28">
        <v>0</v>
      </c>
      <c r="I177" s="28">
        <v>0</v>
      </c>
      <c r="J177" s="29">
        <f>SUM(D177:I177)</f>
        <v>10220.58</v>
      </c>
      <c r="K177" s="8"/>
      <c r="L177" s="8"/>
    </row>
    <row r="178" spans="1:12">
      <c r="A178" s="8"/>
      <c r="B178" s="8"/>
      <c r="C178" s="8"/>
      <c r="D178" s="20"/>
      <c r="E178" s="20"/>
      <c r="F178" s="15"/>
      <c r="G178" s="15"/>
      <c r="H178" s="15"/>
      <c r="I178" s="15"/>
      <c r="J178" s="20"/>
      <c r="K178" s="8"/>
      <c r="L178" s="8"/>
    </row>
    <row r="179" spans="1:12" ht="15.75" thickBot="1">
      <c r="A179" s="8"/>
      <c r="B179" s="8"/>
      <c r="C179" s="8"/>
      <c r="D179" s="31">
        <f t="shared" ref="D179:I179" si="27">SUM(D177:D178)</f>
        <v>9835.2800000000007</v>
      </c>
      <c r="E179" s="31">
        <f t="shared" si="27"/>
        <v>385.3</v>
      </c>
      <c r="F179" s="30">
        <f t="shared" si="27"/>
        <v>0</v>
      </c>
      <c r="G179" s="30">
        <f t="shared" si="27"/>
        <v>0</v>
      </c>
      <c r="H179" s="30">
        <f t="shared" si="27"/>
        <v>0</v>
      </c>
      <c r="I179" s="30">
        <f t="shared" si="27"/>
        <v>0</v>
      </c>
      <c r="J179" s="31">
        <f>SUM(D179:I179)</f>
        <v>10220.58</v>
      </c>
      <c r="K179" s="8"/>
      <c r="L179" s="8"/>
    </row>
    <row r="180" spans="1:12" ht="15.75" thickTop="1">
      <c r="A180" s="8"/>
      <c r="B180" s="8"/>
      <c r="C180" s="8"/>
      <c r="D180" s="20"/>
      <c r="E180" s="20"/>
      <c r="F180" s="15"/>
      <c r="G180" s="15"/>
      <c r="H180" s="15"/>
      <c r="I180" s="15"/>
      <c r="J180" s="20"/>
      <c r="K180" s="8"/>
      <c r="L180" s="8"/>
    </row>
    <row r="181" spans="1:12">
      <c r="A181" s="8"/>
      <c r="B181" s="8"/>
      <c r="C181" s="8"/>
      <c r="D181" s="20"/>
      <c r="E181" s="20"/>
      <c r="F181" s="15"/>
      <c r="G181" s="15"/>
      <c r="H181" s="15"/>
      <c r="I181" s="15"/>
      <c r="J181" s="20"/>
      <c r="K181" s="8"/>
      <c r="L181" s="8"/>
    </row>
    <row r="182" spans="1:12" ht="15.75" thickBot="1">
      <c r="A182" s="8">
        <v>49</v>
      </c>
      <c r="B182" s="8" t="s">
        <v>43</v>
      </c>
      <c r="C182" s="8" t="s">
        <v>12</v>
      </c>
      <c r="D182" s="29">
        <v>13411.12</v>
      </c>
      <c r="E182" s="29">
        <v>144.26</v>
      </c>
      <c r="F182" s="28">
        <v>40.29</v>
      </c>
      <c r="G182" s="28">
        <v>36.36</v>
      </c>
      <c r="H182" s="28">
        <v>35.51</v>
      </c>
      <c r="I182" s="28">
        <v>0</v>
      </c>
      <c r="J182" s="29">
        <f>SUM(D182:I182)</f>
        <v>13667.540000000003</v>
      </c>
      <c r="K182" s="8"/>
      <c r="L182" s="8"/>
    </row>
    <row r="183" spans="1:12">
      <c r="A183" s="8"/>
      <c r="B183" s="8"/>
      <c r="C183" s="8"/>
      <c r="D183" s="20"/>
      <c r="E183" s="20"/>
      <c r="F183" s="15"/>
      <c r="G183" s="15"/>
      <c r="H183" s="15"/>
      <c r="I183" s="15"/>
      <c r="J183" s="20"/>
      <c r="K183" s="8"/>
      <c r="L183" s="8"/>
    </row>
    <row r="184" spans="1:12" ht="15.75" thickBot="1">
      <c r="A184" s="8"/>
      <c r="B184" s="8"/>
      <c r="C184" s="8" t="s">
        <v>10</v>
      </c>
      <c r="D184" s="31">
        <f t="shared" ref="D184:I184" si="28">SUM(D182:D183)</f>
        <v>13411.12</v>
      </c>
      <c r="E184" s="31">
        <f t="shared" si="28"/>
        <v>144.26</v>
      </c>
      <c r="F184" s="30">
        <f t="shared" si="28"/>
        <v>40.29</v>
      </c>
      <c r="G184" s="30">
        <f t="shared" si="28"/>
        <v>36.36</v>
      </c>
      <c r="H184" s="30">
        <f t="shared" si="28"/>
        <v>35.51</v>
      </c>
      <c r="I184" s="30">
        <f t="shared" si="28"/>
        <v>0</v>
      </c>
      <c r="J184" s="31">
        <f>SUM(D184:I184)</f>
        <v>13667.540000000003</v>
      </c>
      <c r="K184" s="8"/>
      <c r="L184" s="8"/>
    </row>
    <row r="185" spans="1:12" ht="15.75" thickTop="1">
      <c r="A185" s="8"/>
      <c r="B185" s="8"/>
      <c r="C185" s="8"/>
      <c r="D185" s="20"/>
      <c r="E185" s="20"/>
      <c r="F185" s="15"/>
      <c r="G185" s="15"/>
      <c r="H185" s="15"/>
      <c r="I185" s="15"/>
      <c r="J185" s="20"/>
      <c r="K185" s="8"/>
      <c r="L185" s="8"/>
    </row>
    <row r="186" spans="1:12">
      <c r="A186" s="8"/>
      <c r="B186" s="8"/>
      <c r="C186" s="8"/>
      <c r="D186" s="20"/>
      <c r="E186" s="20"/>
      <c r="F186" s="15"/>
      <c r="G186" s="15"/>
      <c r="H186" s="15"/>
      <c r="I186" s="15"/>
      <c r="J186" s="20"/>
      <c r="K186" s="8"/>
      <c r="L186" s="8"/>
    </row>
    <row r="187" spans="1:12">
      <c r="A187" s="8">
        <v>50</v>
      </c>
      <c r="B187" s="8" t="s">
        <v>44</v>
      </c>
      <c r="C187" s="8" t="s">
        <v>12</v>
      </c>
      <c r="D187" s="20">
        <v>5079.8900000000003</v>
      </c>
      <c r="E187" s="20">
        <v>249.55</v>
      </c>
      <c r="F187" s="15">
        <v>61.79</v>
      </c>
      <c r="G187" s="15">
        <v>43.35</v>
      </c>
      <c r="H187" s="15">
        <v>43.25</v>
      </c>
      <c r="I187" s="15">
        <v>0</v>
      </c>
      <c r="J187" s="20">
        <f>SUM(D187:I187)</f>
        <v>5477.8300000000008</v>
      </c>
      <c r="K187" s="8"/>
      <c r="L187" s="8"/>
    </row>
    <row r="188" spans="1:12" ht="15.75" thickBot="1">
      <c r="A188" s="8"/>
      <c r="B188" s="8"/>
      <c r="C188" s="8" t="s">
        <v>13</v>
      </c>
      <c r="D188" s="29">
        <v>96.08</v>
      </c>
      <c r="E188" s="29">
        <v>6.22</v>
      </c>
      <c r="F188" s="28">
        <v>1.24</v>
      </c>
      <c r="G188" s="28">
        <v>1.05</v>
      </c>
      <c r="H188" s="28">
        <v>0.97</v>
      </c>
      <c r="I188" s="28">
        <v>0</v>
      </c>
      <c r="J188" s="29">
        <f>SUM(D188:I188)</f>
        <v>105.55999999999999</v>
      </c>
      <c r="K188" s="8"/>
      <c r="L188" s="8"/>
    </row>
    <row r="189" spans="1:12">
      <c r="A189" s="8"/>
      <c r="B189" s="8"/>
      <c r="C189" s="8"/>
      <c r="D189" s="20"/>
      <c r="E189" s="20"/>
      <c r="F189" s="15"/>
      <c r="G189" s="15"/>
      <c r="H189" s="15"/>
      <c r="I189" s="15"/>
      <c r="J189" s="20"/>
      <c r="K189" s="8"/>
      <c r="L189" s="8"/>
    </row>
    <row r="190" spans="1:12" ht="15.75" thickBot="1">
      <c r="A190" s="8"/>
      <c r="B190" s="8"/>
      <c r="C190" s="8" t="s">
        <v>10</v>
      </c>
      <c r="D190" s="31">
        <f t="shared" ref="D190:I190" si="29">SUM(D187:D188)</f>
        <v>5175.97</v>
      </c>
      <c r="E190" s="31">
        <f t="shared" si="29"/>
        <v>255.77</v>
      </c>
      <c r="F190" s="30">
        <f t="shared" si="29"/>
        <v>63.03</v>
      </c>
      <c r="G190" s="30">
        <f t="shared" si="29"/>
        <v>44.4</v>
      </c>
      <c r="H190" s="30">
        <f t="shared" si="29"/>
        <v>44.22</v>
      </c>
      <c r="I190" s="30">
        <f t="shared" si="29"/>
        <v>0</v>
      </c>
      <c r="J190" s="31">
        <f>SUM(D190:I190)</f>
        <v>5583.39</v>
      </c>
      <c r="K190" s="8"/>
      <c r="L190" s="8"/>
    </row>
    <row r="191" spans="1:12" ht="15.75" thickTop="1">
      <c r="A191" s="8"/>
      <c r="B191" s="8"/>
      <c r="C191" s="8"/>
      <c r="D191" s="20"/>
      <c r="E191" s="20"/>
      <c r="F191" s="15"/>
      <c r="G191" s="15"/>
      <c r="H191" s="15"/>
      <c r="I191" s="15"/>
      <c r="J191" s="20"/>
      <c r="K191" s="8"/>
      <c r="L191" s="8"/>
    </row>
    <row r="192" spans="1:12">
      <c r="A192" s="8"/>
      <c r="B192" s="8"/>
      <c r="C192" s="8"/>
      <c r="D192" s="20"/>
      <c r="E192" s="20"/>
      <c r="F192" s="15"/>
      <c r="G192" s="15"/>
      <c r="H192" s="15"/>
      <c r="I192" s="15"/>
      <c r="J192" s="20"/>
      <c r="K192" s="8"/>
      <c r="L192" s="8"/>
    </row>
    <row r="193" spans="1:12">
      <c r="A193" s="8">
        <v>51</v>
      </c>
      <c r="B193" s="8" t="s">
        <v>45</v>
      </c>
      <c r="C193" s="8" t="s">
        <v>12</v>
      </c>
      <c r="D193" s="20">
        <v>11518.98</v>
      </c>
      <c r="E193" s="20">
        <v>164.15</v>
      </c>
      <c r="F193" s="15">
        <v>72.63</v>
      </c>
      <c r="G193" s="15">
        <v>0</v>
      </c>
      <c r="H193" s="15">
        <v>0</v>
      </c>
      <c r="I193" s="15">
        <v>0</v>
      </c>
      <c r="J193" s="20">
        <f>SUM(D193:I193)</f>
        <v>11755.759999999998</v>
      </c>
      <c r="K193" s="8"/>
      <c r="L193" s="8"/>
    </row>
    <row r="194" spans="1:12">
      <c r="A194" s="8"/>
      <c r="B194" s="8"/>
      <c r="C194" s="8" t="s">
        <v>13</v>
      </c>
      <c r="D194" s="20">
        <v>0</v>
      </c>
      <c r="E194" s="20">
        <v>0</v>
      </c>
      <c r="F194" s="15">
        <v>0</v>
      </c>
      <c r="G194" s="15">
        <v>0</v>
      </c>
      <c r="H194" s="15">
        <v>0</v>
      </c>
      <c r="I194" s="15">
        <v>0</v>
      </c>
      <c r="J194" s="20">
        <f>SUM(D194:I194)</f>
        <v>0</v>
      </c>
      <c r="K194" s="8"/>
      <c r="L194" s="8"/>
    </row>
    <row r="195" spans="1:12" ht="15.75" thickBot="1">
      <c r="A195" s="8"/>
      <c r="B195" s="8"/>
      <c r="C195" s="8" t="s">
        <v>46</v>
      </c>
      <c r="D195" s="29">
        <v>229.67</v>
      </c>
      <c r="E195" s="29">
        <v>3.34</v>
      </c>
      <c r="F195" s="28">
        <v>1.41</v>
      </c>
      <c r="G195" s="28">
        <v>0</v>
      </c>
      <c r="H195" s="28">
        <v>0</v>
      </c>
      <c r="I195" s="28">
        <v>0</v>
      </c>
      <c r="J195" s="29">
        <f>SUM(D195:I195)</f>
        <v>234.42</v>
      </c>
      <c r="K195" s="8"/>
      <c r="L195" s="8"/>
    </row>
    <row r="196" spans="1:12">
      <c r="A196" s="8"/>
      <c r="B196" s="8"/>
      <c r="C196" s="8"/>
      <c r="D196" s="20"/>
      <c r="E196" s="20"/>
      <c r="F196" s="15"/>
      <c r="G196" s="15"/>
      <c r="H196" s="15"/>
      <c r="I196" s="15"/>
      <c r="J196" s="20"/>
      <c r="K196" s="8"/>
      <c r="L196" s="8"/>
    </row>
    <row r="197" spans="1:12" ht="15.75" thickBot="1">
      <c r="A197" s="8"/>
      <c r="B197" s="8"/>
      <c r="C197" s="8" t="s">
        <v>10</v>
      </c>
      <c r="D197" s="31">
        <f t="shared" ref="D197:I197" si="30">SUM(D193:D195)</f>
        <v>11748.65</v>
      </c>
      <c r="E197" s="31">
        <f t="shared" si="30"/>
        <v>167.49</v>
      </c>
      <c r="F197" s="30">
        <f t="shared" si="30"/>
        <v>74.039999999999992</v>
      </c>
      <c r="G197" s="30">
        <f t="shared" si="30"/>
        <v>0</v>
      </c>
      <c r="H197" s="30">
        <f t="shared" si="30"/>
        <v>0</v>
      </c>
      <c r="I197" s="30">
        <f t="shared" si="30"/>
        <v>0</v>
      </c>
      <c r="J197" s="31">
        <f>SUM(D197:I197)</f>
        <v>11990.18</v>
      </c>
      <c r="K197" s="8"/>
      <c r="L197" s="8"/>
    </row>
    <row r="198" spans="1:12" ht="15.75" thickTop="1">
      <c r="A198" s="8"/>
      <c r="B198" s="8"/>
      <c r="C198" s="8"/>
      <c r="D198" s="20"/>
      <c r="E198" s="20"/>
      <c r="F198" s="15"/>
      <c r="G198" s="15"/>
      <c r="H198" s="15"/>
      <c r="I198" s="15"/>
      <c r="J198" s="20"/>
      <c r="K198" s="8"/>
      <c r="L198" s="8"/>
    </row>
    <row r="199" spans="1:12">
      <c r="A199" s="8"/>
      <c r="B199" s="8"/>
      <c r="C199" s="8"/>
      <c r="D199" s="20"/>
      <c r="E199" s="20"/>
      <c r="F199" s="15"/>
      <c r="G199" s="15"/>
      <c r="H199" s="15"/>
      <c r="I199" s="15"/>
      <c r="J199" s="20"/>
      <c r="K199" s="8"/>
      <c r="L199" s="8"/>
    </row>
    <row r="200" spans="1:12">
      <c r="A200" s="8">
        <v>52</v>
      </c>
      <c r="B200" s="8" t="s">
        <v>47</v>
      </c>
      <c r="C200" s="8" t="s">
        <v>12</v>
      </c>
      <c r="D200" s="20">
        <v>9570.8700000000008</v>
      </c>
      <c r="E200" s="20">
        <v>0.65</v>
      </c>
      <c r="F200" s="15">
        <v>0.65</v>
      </c>
      <c r="G200" s="15">
        <v>0</v>
      </c>
      <c r="H200" s="15">
        <v>0</v>
      </c>
      <c r="I200" s="15">
        <v>0</v>
      </c>
      <c r="J200" s="20">
        <f>SUM(D200:I200)</f>
        <v>9572.17</v>
      </c>
      <c r="K200" s="8"/>
      <c r="L200" s="8"/>
    </row>
    <row r="201" spans="1:12" ht="15.75" thickBot="1">
      <c r="A201" s="8"/>
      <c r="B201" s="8"/>
      <c r="C201" s="8" t="s">
        <v>13</v>
      </c>
      <c r="D201" s="29"/>
      <c r="E201" s="29"/>
      <c r="F201" s="28"/>
      <c r="G201" s="28"/>
      <c r="H201" s="28"/>
      <c r="I201" s="28"/>
      <c r="J201" s="34">
        <v>0</v>
      </c>
      <c r="K201" s="8"/>
      <c r="L201" s="8"/>
    </row>
    <row r="202" spans="1:12">
      <c r="A202" s="8"/>
      <c r="B202" s="8"/>
      <c r="C202" s="8"/>
      <c r="D202" s="20"/>
      <c r="E202" s="20"/>
      <c r="F202" s="15"/>
      <c r="G202" s="15"/>
      <c r="H202" s="15"/>
      <c r="I202" s="15"/>
      <c r="J202" s="20"/>
      <c r="K202" s="8"/>
      <c r="L202" s="8"/>
    </row>
    <row r="203" spans="1:12" ht="15.75" thickBot="1">
      <c r="A203" s="8"/>
      <c r="B203" s="8"/>
      <c r="C203" s="8" t="s">
        <v>10</v>
      </c>
      <c r="D203" s="31">
        <f t="shared" ref="D203:I203" si="31">SUM(D200:D201)</f>
        <v>9570.8700000000008</v>
      </c>
      <c r="E203" s="31">
        <f t="shared" si="31"/>
        <v>0.65</v>
      </c>
      <c r="F203" s="30">
        <f t="shared" si="31"/>
        <v>0.65</v>
      </c>
      <c r="G203" s="30">
        <f t="shared" si="31"/>
        <v>0</v>
      </c>
      <c r="H203" s="30">
        <f t="shared" si="31"/>
        <v>0</v>
      </c>
      <c r="I203" s="30">
        <f t="shared" si="31"/>
        <v>0</v>
      </c>
      <c r="J203" s="31">
        <f>SUM(D203:I203)</f>
        <v>9572.17</v>
      </c>
      <c r="K203" s="8"/>
      <c r="L203" s="8"/>
    </row>
    <row r="204" spans="1:12" ht="15.75" thickTop="1">
      <c r="A204" s="8"/>
      <c r="B204" s="8"/>
      <c r="C204" s="8"/>
      <c r="D204" s="20"/>
      <c r="E204" s="20"/>
      <c r="F204" s="15"/>
      <c r="G204" s="15"/>
      <c r="H204" s="15"/>
      <c r="I204" s="15"/>
      <c r="J204" s="20"/>
      <c r="K204" s="8"/>
      <c r="L204" s="8"/>
    </row>
    <row r="205" spans="1:12">
      <c r="A205" s="8"/>
      <c r="B205" s="8"/>
      <c r="C205" s="8"/>
      <c r="D205" s="20"/>
      <c r="E205" s="20"/>
      <c r="F205" s="15"/>
      <c r="G205" s="15"/>
      <c r="H205" s="15"/>
      <c r="I205" s="15"/>
      <c r="J205" s="20"/>
      <c r="K205" s="8"/>
      <c r="L205" s="8"/>
    </row>
    <row r="206" spans="1:12">
      <c r="A206" s="8">
        <v>53</v>
      </c>
      <c r="B206" s="8" t="s">
        <v>48</v>
      </c>
      <c r="C206" s="8" t="s">
        <v>12</v>
      </c>
      <c r="D206" s="20">
        <v>18208.78</v>
      </c>
      <c r="E206" s="20">
        <v>79.97</v>
      </c>
      <c r="F206" s="15">
        <v>77.06</v>
      </c>
      <c r="G206" s="15">
        <v>68.91</v>
      </c>
      <c r="H206" s="15">
        <v>62.19</v>
      </c>
      <c r="I206" s="15">
        <v>0</v>
      </c>
      <c r="J206" s="20">
        <f>SUM(D206:I206)</f>
        <v>18496.91</v>
      </c>
      <c r="K206" s="8"/>
      <c r="L206" s="8"/>
    </row>
    <row r="207" spans="1:12">
      <c r="A207" s="8"/>
      <c r="B207" s="8"/>
      <c r="C207" s="8" t="s">
        <v>35</v>
      </c>
      <c r="D207" s="20">
        <v>1012.09</v>
      </c>
      <c r="E207" s="20">
        <v>4.93</v>
      </c>
      <c r="F207" s="15">
        <v>4.63</v>
      </c>
      <c r="G207" s="15">
        <v>4.25</v>
      </c>
      <c r="H207" s="15">
        <v>3.41</v>
      </c>
      <c r="I207" s="15">
        <v>0</v>
      </c>
      <c r="J207" s="20">
        <f>SUM(D207:I207)</f>
        <v>1029.3100000000002</v>
      </c>
      <c r="K207" s="8"/>
      <c r="L207" s="8"/>
    </row>
    <row r="208" spans="1:12">
      <c r="A208" s="8"/>
      <c r="B208" s="8"/>
      <c r="C208" s="8" t="s">
        <v>97</v>
      </c>
      <c r="D208" s="20">
        <v>506.05</v>
      </c>
      <c r="E208" s="20">
        <v>2.41</v>
      </c>
      <c r="F208" s="15">
        <v>1.9</v>
      </c>
      <c r="G208" s="15">
        <v>1.55</v>
      </c>
      <c r="H208" s="15">
        <v>1.66</v>
      </c>
      <c r="I208" s="15">
        <v>0</v>
      </c>
      <c r="J208" s="20">
        <f>SUM(D208:I208)</f>
        <v>513.57000000000005</v>
      </c>
      <c r="K208" s="8"/>
      <c r="L208" s="8"/>
    </row>
    <row r="209" spans="1:12" ht="15.75" thickBot="1">
      <c r="A209" s="8"/>
      <c r="B209" s="8"/>
      <c r="C209" s="8" t="s">
        <v>98</v>
      </c>
      <c r="D209" s="29">
        <v>3035.39</v>
      </c>
      <c r="E209" s="29">
        <v>13.94</v>
      </c>
      <c r="F209" s="28">
        <v>13.35</v>
      </c>
      <c r="G209" s="28">
        <v>11.98</v>
      </c>
      <c r="H209" s="28">
        <v>10.76</v>
      </c>
      <c r="I209" s="28">
        <v>0</v>
      </c>
      <c r="J209" s="29">
        <f>SUM(D209:I209)</f>
        <v>3085.42</v>
      </c>
      <c r="K209" s="8"/>
      <c r="L209" s="8"/>
    </row>
    <row r="210" spans="1:12">
      <c r="A210" s="8"/>
      <c r="B210" s="8"/>
      <c r="C210" s="8"/>
      <c r="D210" s="20"/>
      <c r="E210" s="20"/>
      <c r="F210" s="15"/>
      <c r="G210" s="15"/>
      <c r="H210" s="15"/>
      <c r="I210" s="15"/>
      <c r="J210" s="20"/>
      <c r="K210" s="8"/>
      <c r="L210" s="8"/>
    </row>
    <row r="211" spans="1:12" ht="15.75" thickBot="1">
      <c r="A211" s="8"/>
      <c r="B211" s="8"/>
      <c r="C211" s="8" t="s">
        <v>10</v>
      </c>
      <c r="D211" s="31">
        <f>SUM(D206:D210)</f>
        <v>22762.309999999998</v>
      </c>
      <c r="E211" s="31">
        <f t="shared" ref="E211:J211" si="32">SUM(E206:E210)</f>
        <v>101.25</v>
      </c>
      <c r="F211" s="30">
        <f t="shared" si="32"/>
        <v>96.94</v>
      </c>
      <c r="G211" s="30">
        <f t="shared" si="32"/>
        <v>86.69</v>
      </c>
      <c r="H211" s="30">
        <f t="shared" si="32"/>
        <v>78.02</v>
      </c>
      <c r="I211" s="30">
        <f t="shared" si="32"/>
        <v>0</v>
      </c>
      <c r="J211" s="30">
        <f t="shared" si="32"/>
        <v>23125.21</v>
      </c>
      <c r="K211" s="8"/>
      <c r="L211" s="8"/>
    </row>
    <row r="212" spans="1:12" ht="15.75" thickTop="1">
      <c r="A212" s="8"/>
      <c r="B212" s="8"/>
      <c r="C212" s="8"/>
      <c r="D212" s="20"/>
      <c r="E212" s="20"/>
      <c r="F212" s="15"/>
      <c r="G212" s="15"/>
      <c r="H212" s="15"/>
      <c r="I212" s="15"/>
      <c r="J212" s="20"/>
      <c r="K212" s="8"/>
      <c r="L212" s="8"/>
    </row>
    <row r="213" spans="1:12">
      <c r="A213" s="8"/>
      <c r="B213" s="8"/>
      <c r="C213" s="8"/>
      <c r="D213" s="20"/>
      <c r="E213" s="20"/>
      <c r="F213" s="15"/>
      <c r="G213" s="15"/>
      <c r="H213" s="15"/>
      <c r="I213" s="15"/>
      <c r="J213" s="20"/>
      <c r="K213" s="8"/>
      <c r="L213" s="8"/>
    </row>
    <row r="214" spans="1:12">
      <c r="A214" s="8">
        <v>54</v>
      </c>
      <c r="B214" s="8" t="s">
        <v>49</v>
      </c>
      <c r="C214" s="8" t="s">
        <v>12</v>
      </c>
      <c r="D214" s="20">
        <v>7951.71</v>
      </c>
      <c r="E214" s="20">
        <v>156.71</v>
      </c>
      <c r="F214" s="15">
        <v>4.1399999999999997</v>
      </c>
      <c r="G214" s="15">
        <v>0</v>
      </c>
      <c r="H214" s="15">
        <v>0</v>
      </c>
      <c r="I214" s="15">
        <v>0</v>
      </c>
      <c r="J214" s="20">
        <f>SUM(D214:I214)</f>
        <v>8112.56</v>
      </c>
      <c r="K214" s="8"/>
      <c r="L214" s="8"/>
    </row>
    <row r="215" spans="1:12" ht="15.75" thickBot="1">
      <c r="A215" s="8"/>
      <c r="B215" s="8"/>
      <c r="C215" s="8" t="s">
        <v>104</v>
      </c>
      <c r="D215" s="29"/>
      <c r="E215" s="29"/>
      <c r="F215" s="28"/>
      <c r="G215" s="28"/>
      <c r="H215" s="28"/>
      <c r="I215" s="28"/>
      <c r="J215" s="29">
        <f>SUM(D215:I215)</f>
        <v>0</v>
      </c>
      <c r="K215" s="8"/>
      <c r="L215" s="8"/>
    </row>
    <row r="216" spans="1:12">
      <c r="A216" s="8"/>
      <c r="B216" s="8"/>
      <c r="C216" s="8"/>
      <c r="D216" s="20"/>
      <c r="E216" s="20"/>
      <c r="F216" s="15"/>
      <c r="G216" s="15"/>
      <c r="H216" s="15"/>
      <c r="I216" s="15"/>
      <c r="J216" s="20"/>
      <c r="K216" s="8"/>
      <c r="L216" s="8"/>
    </row>
    <row r="217" spans="1:12" ht="15.75" thickBot="1">
      <c r="A217" s="8"/>
      <c r="B217" s="8"/>
      <c r="C217" s="8" t="s">
        <v>10</v>
      </c>
      <c r="D217" s="31">
        <f t="shared" ref="D217:I217" si="33">SUM(D214:D216)</f>
        <v>7951.71</v>
      </c>
      <c r="E217" s="31">
        <f t="shared" si="33"/>
        <v>156.71</v>
      </c>
      <c r="F217" s="30">
        <f t="shared" si="33"/>
        <v>4.1399999999999997</v>
      </c>
      <c r="G217" s="30">
        <f t="shared" si="33"/>
        <v>0</v>
      </c>
      <c r="H217" s="30">
        <f t="shared" si="33"/>
        <v>0</v>
      </c>
      <c r="I217" s="30">
        <f t="shared" si="33"/>
        <v>0</v>
      </c>
      <c r="J217" s="31">
        <f>SUM(D217:I217)</f>
        <v>8112.56</v>
      </c>
      <c r="K217" s="8"/>
      <c r="L217" s="8"/>
    </row>
    <row r="218" spans="1:12" ht="15.75" thickTop="1">
      <c r="A218" s="8"/>
      <c r="B218" s="8"/>
      <c r="C218" s="8"/>
      <c r="D218" s="20"/>
      <c r="E218" s="20"/>
      <c r="F218" s="15"/>
      <c r="G218" s="15"/>
      <c r="H218" s="15"/>
      <c r="I218" s="15"/>
      <c r="J218" s="20"/>
      <c r="K218" s="8"/>
      <c r="L218" s="8"/>
    </row>
    <row r="219" spans="1:12">
      <c r="A219" s="8"/>
      <c r="B219" s="8"/>
      <c r="C219" s="8"/>
      <c r="D219" s="20"/>
      <c r="E219" s="20"/>
      <c r="F219" s="15"/>
      <c r="G219" s="15"/>
      <c r="H219" s="15"/>
      <c r="I219" s="15"/>
      <c r="J219" s="20"/>
      <c r="K219" s="8"/>
      <c r="L219" s="8"/>
    </row>
    <row r="220" spans="1:12">
      <c r="A220" s="8">
        <v>55</v>
      </c>
      <c r="B220" s="8" t="s">
        <v>50</v>
      </c>
      <c r="C220" s="8" t="s">
        <v>12</v>
      </c>
      <c r="D220" s="20">
        <v>18881.439999999999</v>
      </c>
      <c r="E220" s="20">
        <v>404.47</v>
      </c>
      <c r="F220" s="15">
        <v>173.54</v>
      </c>
      <c r="G220" s="15">
        <v>164.64</v>
      </c>
      <c r="H220" s="15">
        <v>147.34</v>
      </c>
      <c r="I220" s="15">
        <v>0</v>
      </c>
      <c r="J220" s="20">
        <f>SUM(D220:I220)</f>
        <v>19771.43</v>
      </c>
      <c r="K220" s="8"/>
      <c r="L220" s="8"/>
    </row>
    <row r="221" spans="1:12" ht="15.75" thickBot="1">
      <c r="A221" s="8"/>
      <c r="B221" s="8"/>
      <c r="C221" s="8" t="s">
        <v>13</v>
      </c>
      <c r="D221" s="29">
        <v>511.34</v>
      </c>
      <c r="E221" s="29">
        <v>10.33</v>
      </c>
      <c r="F221" s="28">
        <v>4.0999999999999996</v>
      </c>
      <c r="G221" s="28">
        <v>4.16</v>
      </c>
      <c r="H221" s="28">
        <v>3.88</v>
      </c>
      <c r="I221" s="28">
        <v>0</v>
      </c>
      <c r="J221" s="29">
        <f>SUM(D221:I221)</f>
        <v>533.80999999999995</v>
      </c>
      <c r="K221" s="8"/>
      <c r="L221" s="8"/>
    </row>
    <row r="222" spans="1:12">
      <c r="A222" s="8"/>
      <c r="B222" s="8"/>
      <c r="C222" s="8"/>
      <c r="D222" s="20"/>
      <c r="E222" s="20"/>
      <c r="F222" s="15"/>
      <c r="G222" s="15"/>
      <c r="H222" s="15"/>
      <c r="I222" s="15"/>
      <c r="J222" s="20"/>
      <c r="K222" s="8"/>
      <c r="L222" s="8"/>
    </row>
    <row r="223" spans="1:12" ht="15.75" thickBot="1">
      <c r="A223" s="8"/>
      <c r="B223" s="8"/>
      <c r="C223" s="8" t="s">
        <v>10</v>
      </c>
      <c r="D223" s="31">
        <f t="shared" ref="D223:I223" si="34">SUM(D220:D221)</f>
        <v>19392.78</v>
      </c>
      <c r="E223" s="31">
        <f t="shared" si="34"/>
        <v>414.8</v>
      </c>
      <c r="F223" s="30">
        <f t="shared" si="34"/>
        <v>177.64</v>
      </c>
      <c r="G223" s="30">
        <f t="shared" si="34"/>
        <v>168.79999999999998</v>
      </c>
      <c r="H223" s="30">
        <f t="shared" si="34"/>
        <v>151.22</v>
      </c>
      <c r="I223" s="30">
        <f t="shared" si="34"/>
        <v>0</v>
      </c>
      <c r="J223" s="31">
        <f>SUM(D223:I223)</f>
        <v>20305.239999999998</v>
      </c>
      <c r="K223" s="8"/>
      <c r="L223" s="8"/>
    </row>
    <row r="224" spans="1:12" ht="15.75" thickTop="1">
      <c r="A224" s="8"/>
      <c r="B224" s="8"/>
      <c r="C224" s="8"/>
      <c r="D224" s="20"/>
      <c r="E224" s="20"/>
      <c r="F224" s="15"/>
      <c r="G224" s="15"/>
      <c r="H224" s="15"/>
      <c r="I224" s="15"/>
      <c r="J224" s="20"/>
      <c r="K224" s="8"/>
      <c r="L224" s="8"/>
    </row>
    <row r="225" spans="1:12">
      <c r="A225" s="8"/>
      <c r="B225" s="8"/>
      <c r="C225" s="8"/>
      <c r="D225" s="20"/>
      <c r="E225" s="20"/>
      <c r="F225" s="15"/>
      <c r="G225" s="15"/>
      <c r="H225" s="15"/>
      <c r="I225" s="15"/>
      <c r="J225" s="20"/>
      <c r="K225" s="8"/>
      <c r="L225" s="8"/>
    </row>
    <row r="226" spans="1:12">
      <c r="A226" s="8">
        <v>56</v>
      </c>
      <c r="B226" s="8" t="s">
        <v>51</v>
      </c>
      <c r="C226" s="8" t="s">
        <v>12</v>
      </c>
      <c r="D226" s="20">
        <v>8954.3700000000008</v>
      </c>
      <c r="E226" s="20">
        <v>187.45</v>
      </c>
      <c r="F226" s="15">
        <v>0</v>
      </c>
      <c r="G226" s="15">
        <v>0</v>
      </c>
      <c r="H226" s="15">
        <v>0</v>
      </c>
      <c r="I226" s="15">
        <v>0</v>
      </c>
      <c r="J226" s="20">
        <f>SUM(D226:I226)</f>
        <v>9141.8200000000015</v>
      </c>
      <c r="K226" s="8"/>
      <c r="L226" s="8"/>
    </row>
    <row r="227" spans="1:12" ht="15.75" thickBot="1">
      <c r="A227" s="8"/>
      <c r="B227" s="8"/>
      <c r="C227" s="8" t="s">
        <v>13</v>
      </c>
      <c r="D227" s="29">
        <v>133.69999999999999</v>
      </c>
      <c r="E227" s="29">
        <v>2.84</v>
      </c>
      <c r="F227" s="28">
        <v>0</v>
      </c>
      <c r="G227" s="28">
        <v>0</v>
      </c>
      <c r="H227" s="28">
        <v>0</v>
      </c>
      <c r="I227" s="28">
        <v>0</v>
      </c>
      <c r="J227" s="29">
        <f>SUM(D227:I227)</f>
        <v>136.54</v>
      </c>
      <c r="K227" s="8"/>
      <c r="L227" s="8"/>
    </row>
    <row r="228" spans="1:12">
      <c r="A228" s="8"/>
      <c r="B228" s="8"/>
      <c r="C228" s="8"/>
      <c r="D228" s="20"/>
      <c r="E228" s="20"/>
      <c r="F228" s="15"/>
      <c r="G228" s="15"/>
      <c r="H228" s="15"/>
      <c r="I228" s="15"/>
      <c r="J228" s="20"/>
      <c r="K228" s="8"/>
      <c r="L228" s="8"/>
    </row>
    <row r="229" spans="1:12" ht="15.75" thickBot="1">
      <c r="A229" s="8"/>
      <c r="B229" s="8"/>
      <c r="C229" s="8" t="s">
        <v>10</v>
      </c>
      <c r="D229" s="31">
        <f t="shared" ref="D229:I229" si="35">SUM(D226:D227)</f>
        <v>9088.0700000000015</v>
      </c>
      <c r="E229" s="31">
        <f t="shared" si="35"/>
        <v>190.29</v>
      </c>
      <c r="F229" s="30">
        <f t="shared" si="35"/>
        <v>0</v>
      </c>
      <c r="G229" s="30">
        <f t="shared" si="35"/>
        <v>0</v>
      </c>
      <c r="H229" s="30">
        <f t="shared" si="35"/>
        <v>0</v>
      </c>
      <c r="I229" s="30">
        <f t="shared" si="35"/>
        <v>0</v>
      </c>
      <c r="J229" s="31">
        <f>SUM(D229:I229)</f>
        <v>9278.3600000000024</v>
      </c>
      <c r="K229" s="8"/>
      <c r="L229" s="8"/>
    </row>
    <row r="230" spans="1:12" ht="15.75" thickTop="1">
      <c r="A230" s="8"/>
      <c r="B230" s="8"/>
      <c r="C230" s="8"/>
      <c r="D230" s="20"/>
      <c r="E230" s="20"/>
      <c r="F230" s="15"/>
      <c r="G230" s="15"/>
      <c r="H230" s="15"/>
      <c r="I230" s="15"/>
      <c r="J230" s="20"/>
      <c r="K230" s="8"/>
      <c r="L230" s="8"/>
    </row>
    <row r="231" spans="1:12">
      <c r="A231" s="8"/>
      <c r="B231" s="8"/>
      <c r="C231" s="8"/>
      <c r="D231" s="20"/>
      <c r="E231" s="20"/>
      <c r="F231" s="15"/>
      <c r="G231" s="15"/>
      <c r="H231" s="15"/>
      <c r="I231" s="15"/>
      <c r="J231" s="20"/>
      <c r="K231" s="8"/>
      <c r="L231" s="8"/>
    </row>
    <row r="232" spans="1:12">
      <c r="A232" s="8">
        <v>57</v>
      </c>
      <c r="B232" s="8" t="s">
        <v>52</v>
      </c>
      <c r="C232" s="8" t="s">
        <v>12</v>
      </c>
      <c r="D232" s="20">
        <v>23699.599999999999</v>
      </c>
      <c r="E232" s="20">
        <v>1436.57</v>
      </c>
      <c r="F232" s="15">
        <v>1016.57</v>
      </c>
      <c r="G232" s="15">
        <v>139.88</v>
      </c>
      <c r="H232" s="15">
        <v>51.42</v>
      </c>
      <c r="I232" s="15">
        <v>0</v>
      </c>
      <c r="J232" s="20">
        <f>SUM(D232:I232)</f>
        <v>26344.039999999997</v>
      </c>
      <c r="K232" s="8"/>
      <c r="L232" s="8"/>
    </row>
    <row r="233" spans="1:12" ht="15.75" thickBot="1">
      <c r="A233" s="8"/>
      <c r="B233" s="8"/>
      <c r="C233" s="8" t="s">
        <v>13</v>
      </c>
      <c r="D233" s="29">
        <v>645.34</v>
      </c>
      <c r="E233" s="29">
        <v>36.799999999999997</v>
      </c>
      <c r="F233" s="28">
        <v>24.77</v>
      </c>
      <c r="G233" s="28">
        <v>3.7</v>
      </c>
      <c r="H233" s="28">
        <v>1.29</v>
      </c>
      <c r="I233" s="28">
        <v>0</v>
      </c>
      <c r="J233" s="29">
        <f>SUM(D233:I233)</f>
        <v>711.9</v>
      </c>
      <c r="K233" s="8"/>
      <c r="L233" s="8"/>
    </row>
    <row r="234" spans="1:12">
      <c r="A234" s="8"/>
      <c r="B234" s="8"/>
      <c r="C234" s="8"/>
      <c r="D234" s="20"/>
      <c r="E234" s="20"/>
      <c r="F234" s="15"/>
      <c r="G234" s="15"/>
      <c r="H234" s="15"/>
      <c r="I234" s="15"/>
      <c r="J234" s="20"/>
      <c r="K234" s="8"/>
      <c r="L234" s="8"/>
    </row>
    <row r="235" spans="1:12" ht="15.75" thickBot="1">
      <c r="A235" s="8"/>
      <c r="B235" s="8"/>
      <c r="C235" s="8" t="s">
        <v>10</v>
      </c>
      <c r="D235" s="31">
        <f t="shared" ref="D235:I235" si="36">SUM(D232:D233)</f>
        <v>24344.94</v>
      </c>
      <c r="E235" s="31">
        <f t="shared" si="36"/>
        <v>1473.37</v>
      </c>
      <c r="F235" s="30">
        <f t="shared" si="36"/>
        <v>1041.3400000000001</v>
      </c>
      <c r="G235" s="30">
        <f t="shared" si="36"/>
        <v>143.57999999999998</v>
      </c>
      <c r="H235" s="30">
        <f t="shared" si="36"/>
        <v>52.71</v>
      </c>
      <c r="I235" s="30">
        <f t="shared" si="36"/>
        <v>0</v>
      </c>
      <c r="J235" s="31">
        <f>SUM(D235:I235)</f>
        <v>27055.94</v>
      </c>
      <c r="K235" s="8"/>
      <c r="L235" s="8"/>
    </row>
    <row r="236" spans="1:12" ht="15.75" thickTop="1">
      <c r="A236" s="8"/>
      <c r="B236" s="8"/>
      <c r="C236" s="8"/>
      <c r="D236" s="20"/>
      <c r="E236" s="20"/>
      <c r="F236" s="15"/>
      <c r="G236" s="15"/>
      <c r="H236" s="15"/>
      <c r="I236" s="15"/>
      <c r="J236" s="20"/>
      <c r="K236" s="8"/>
      <c r="L236" s="8"/>
    </row>
    <row r="237" spans="1:12">
      <c r="A237" s="8"/>
      <c r="B237" s="8"/>
      <c r="C237" s="8"/>
      <c r="D237" s="20"/>
      <c r="E237" s="20"/>
      <c r="F237" s="15"/>
      <c r="G237" s="15"/>
      <c r="H237" s="15"/>
      <c r="I237" s="15"/>
      <c r="J237" s="20"/>
      <c r="K237" s="8"/>
      <c r="L237" s="8"/>
    </row>
    <row r="238" spans="1:12">
      <c r="A238" s="8">
        <v>58</v>
      </c>
      <c r="B238" s="8" t="s">
        <v>53</v>
      </c>
      <c r="C238" s="8" t="s">
        <v>12</v>
      </c>
      <c r="D238" s="20">
        <v>9997.34</v>
      </c>
      <c r="E238" s="20">
        <v>204.31</v>
      </c>
      <c r="F238" s="15">
        <v>0</v>
      </c>
      <c r="G238" s="15">
        <v>0</v>
      </c>
      <c r="H238" s="15">
        <v>0</v>
      </c>
      <c r="I238" s="15">
        <v>0</v>
      </c>
      <c r="J238" s="20">
        <f>SUM(D238:I238)</f>
        <v>10201.65</v>
      </c>
      <c r="K238" s="8"/>
      <c r="L238" s="8"/>
    </row>
    <row r="239" spans="1:12" ht="15.75" thickBot="1">
      <c r="A239" s="8"/>
      <c r="B239" s="8"/>
      <c r="C239" s="8" t="s">
        <v>13</v>
      </c>
      <c r="D239" s="29"/>
      <c r="E239" s="29"/>
      <c r="F239" s="28"/>
      <c r="G239" s="28"/>
      <c r="H239" s="28"/>
      <c r="I239" s="28"/>
      <c r="J239" s="34">
        <v>0</v>
      </c>
      <c r="K239" s="8"/>
      <c r="L239" s="8"/>
    </row>
    <row r="240" spans="1:12">
      <c r="A240" s="8"/>
      <c r="B240" s="8"/>
      <c r="C240" s="8"/>
      <c r="D240" s="20"/>
      <c r="E240" s="20"/>
      <c r="F240" s="15"/>
      <c r="G240" s="15"/>
      <c r="H240" s="15"/>
      <c r="I240" s="15"/>
      <c r="J240" s="20"/>
      <c r="K240" s="8"/>
      <c r="L240" s="8"/>
    </row>
    <row r="241" spans="1:12" ht="15.75" thickBot="1">
      <c r="A241" s="8"/>
      <c r="B241" s="8"/>
      <c r="C241" s="8" t="s">
        <v>10</v>
      </c>
      <c r="D241" s="31">
        <f t="shared" ref="D241:I241" si="37">SUM(D238:D239)</f>
        <v>9997.34</v>
      </c>
      <c r="E241" s="31">
        <f t="shared" si="37"/>
        <v>204.31</v>
      </c>
      <c r="F241" s="30">
        <f t="shared" si="37"/>
        <v>0</v>
      </c>
      <c r="G241" s="30">
        <f t="shared" si="37"/>
        <v>0</v>
      </c>
      <c r="H241" s="30">
        <f t="shared" si="37"/>
        <v>0</v>
      </c>
      <c r="I241" s="30">
        <f t="shared" si="37"/>
        <v>0</v>
      </c>
      <c r="J241" s="31">
        <f>SUM(D241:I241)</f>
        <v>10201.65</v>
      </c>
      <c r="K241" s="8"/>
      <c r="L241" s="8"/>
    </row>
    <row r="242" spans="1:12" ht="15.75" thickTop="1">
      <c r="A242" s="8"/>
      <c r="B242" s="8"/>
      <c r="C242" s="8"/>
      <c r="D242" s="20"/>
      <c r="E242" s="20"/>
      <c r="F242" s="15"/>
      <c r="G242" s="15"/>
      <c r="H242" s="15"/>
      <c r="I242" s="15"/>
      <c r="J242" s="20"/>
      <c r="K242" s="8"/>
      <c r="L242" s="8"/>
    </row>
    <row r="243" spans="1:12">
      <c r="A243" s="8"/>
      <c r="B243" s="8"/>
      <c r="C243" s="8"/>
      <c r="D243" s="20"/>
      <c r="E243" s="20"/>
      <c r="F243" s="15"/>
      <c r="G243" s="15"/>
      <c r="H243" s="15"/>
      <c r="I243" s="15"/>
      <c r="J243" s="20"/>
      <c r="K243" s="8"/>
      <c r="L243" s="8"/>
    </row>
    <row r="244" spans="1:12">
      <c r="A244" s="8">
        <v>59</v>
      </c>
      <c r="B244" s="8" t="s">
        <v>54</v>
      </c>
      <c r="C244" s="8" t="s">
        <v>12</v>
      </c>
      <c r="D244" s="20">
        <v>16832.830000000002</v>
      </c>
      <c r="E244" s="20">
        <v>643</v>
      </c>
      <c r="F244" s="15">
        <v>164.55</v>
      </c>
      <c r="G244" s="15">
        <v>53.57</v>
      </c>
      <c r="H244" s="15">
        <v>1.22</v>
      </c>
      <c r="I244" s="15">
        <v>1.1399999999999999</v>
      </c>
      <c r="J244" s="20">
        <f>SUM(D244:I244)</f>
        <v>17696.310000000001</v>
      </c>
      <c r="K244" s="8"/>
      <c r="L244" s="8"/>
    </row>
    <row r="245" spans="1:12" ht="15.75" thickBot="1">
      <c r="A245" s="8"/>
      <c r="B245" s="8"/>
      <c r="C245" s="8" t="s">
        <v>35</v>
      </c>
      <c r="D245" s="29">
        <v>941.73</v>
      </c>
      <c r="E245" s="29">
        <v>36.32</v>
      </c>
      <c r="F245" s="28">
        <v>3</v>
      </c>
      <c r="G245" s="28">
        <v>2.35</v>
      </c>
      <c r="H245" s="28">
        <v>7.0000000000000007E-2</v>
      </c>
      <c r="I245" s="28">
        <v>0.12</v>
      </c>
      <c r="J245" s="29">
        <f>SUM(D245:I245)</f>
        <v>983.59000000000015</v>
      </c>
      <c r="K245" s="8"/>
      <c r="L245" s="8"/>
    </row>
    <row r="246" spans="1:12">
      <c r="A246" s="8"/>
      <c r="B246" s="8"/>
      <c r="C246" s="8"/>
      <c r="D246" s="20"/>
      <c r="E246" s="20"/>
      <c r="F246" s="15"/>
      <c r="G246" s="15"/>
      <c r="H246" s="15"/>
      <c r="I246" s="15"/>
      <c r="J246" s="20"/>
      <c r="K246" s="8"/>
      <c r="L246" s="8"/>
    </row>
    <row r="247" spans="1:12" ht="15.75" thickBot="1">
      <c r="A247" s="8"/>
      <c r="B247" s="8"/>
      <c r="C247" s="8" t="s">
        <v>10</v>
      </c>
      <c r="D247" s="31">
        <f t="shared" ref="D247:I247" si="38">SUM(D244:D245)</f>
        <v>17774.560000000001</v>
      </c>
      <c r="E247" s="31">
        <f t="shared" si="38"/>
        <v>679.32</v>
      </c>
      <c r="F247" s="30">
        <f t="shared" si="38"/>
        <v>167.55</v>
      </c>
      <c r="G247" s="30">
        <f t="shared" si="38"/>
        <v>55.92</v>
      </c>
      <c r="H247" s="30">
        <f t="shared" si="38"/>
        <v>1.29</v>
      </c>
      <c r="I247" s="30">
        <f t="shared" si="38"/>
        <v>1.2599999999999998</v>
      </c>
      <c r="J247" s="31">
        <f>SUM(D247:I247)</f>
        <v>18679.899999999998</v>
      </c>
      <c r="K247" s="8"/>
      <c r="L247" s="8"/>
    </row>
    <row r="248" spans="1:12" ht="15.75" thickTop="1">
      <c r="A248" s="8"/>
      <c r="B248" s="8"/>
      <c r="C248" s="8"/>
      <c r="D248" s="20"/>
      <c r="E248" s="20"/>
      <c r="F248" s="15"/>
      <c r="G248" s="15"/>
      <c r="H248" s="15"/>
      <c r="I248" s="15"/>
      <c r="J248" s="20"/>
      <c r="K248" s="8"/>
      <c r="L248" s="8"/>
    </row>
    <row r="249" spans="1:12">
      <c r="A249" s="8"/>
      <c r="B249" s="8"/>
      <c r="C249" s="8"/>
      <c r="D249" s="20"/>
      <c r="E249" s="20"/>
      <c r="F249" s="15"/>
      <c r="G249" s="15"/>
      <c r="H249" s="15"/>
      <c r="I249" s="15"/>
      <c r="J249" s="20"/>
      <c r="K249" s="8"/>
      <c r="L249" s="8"/>
    </row>
    <row r="250" spans="1:12" ht="15.75" thickBot="1">
      <c r="A250" s="8">
        <v>60</v>
      </c>
      <c r="B250" s="8" t="s">
        <v>55</v>
      </c>
      <c r="C250" s="8" t="s">
        <v>12</v>
      </c>
      <c r="D250" s="29">
        <v>57696.97</v>
      </c>
      <c r="E250" s="29">
        <v>1165.82</v>
      </c>
      <c r="F250" s="28">
        <v>940.81</v>
      </c>
      <c r="G250" s="28">
        <v>84.72</v>
      </c>
      <c r="H250" s="28">
        <v>1.44</v>
      </c>
      <c r="I250" s="28">
        <v>0</v>
      </c>
      <c r="J250" s="29">
        <f>SUM(D250:I250)</f>
        <v>59889.760000000002</v>
      </c>
      <c r="K250" s="8"/>
      <c r="L250" s="8"/>
    </row>
    <row r="251" spans="1:12">
      <c r="A251" s="8"/>
      <c r="B251" s="8"/>
      <c r="C251" s="8"/>
      <c r="D251" s="20"/>
      <c r="E251" s="20"/>
      <c r="F251" s="15"/>
      <c r="G251" s="15"/>
      <c r="H251" s="15"/>
      <c r="I251" s="15"/>
      <c r="J251" s="20"/>
      <c r="K251" s="8"/>
      <c r="L251" s="8"/>
    </row>
    <row r="252" spans="1:12" ht="15.75" thickBot="1">
      <c r="A252" s="8"/>
      <c r="B252" s="8"/>
      <c r="C252" s="8" t="s">
        <v>10</v>
      </c>
      <c r="D252" s="31">
        <f t="shared" ref="D252:I252" si="39">SUM(D250:D251)</f>
        <v>57696.97</v>
      </c>
      <c r="E252" s="31">
        <f t="shared" si="39"/>
        <v>1165.82</v>
      </c>
      <c r="F252" s="30">
        <f t="shared" si="39"/>
        <v>940.81</v>
      </c>
      <c r="G252" s="30">
        <f t="shared" si="39"/>
        <v>84.72</v>
      </c>
      <c r="H252" s="30">
        <f t="shared" si="39"/>
        <v>1.44</v>
      </c>
      <c r="I252" s="30">
        <f t="shared" si="39"/>
        <v>0</v>
      </c>
      <c r="J252" s="31">
        <f>SUM(D252:I252)</f>
        <v>59889.760000000002</v>
      </c>
      <c r="K252" s="8"/>
      <c r="L252" s="8"/>
    </row>
    <row r="253" spans="1:12" ht="15.75" thickTop="1">
      <c r="A253" s="8"/>
      <c r="B253" s="8"/>
      <c r="C253" s="8"/>
      <c r="D253" s="20"/>
      <c r="E253" s="20"/>
      <c r="F253" s="15"/>
      <c r="G253" s="15"/>
      <c r="H253" s="15"/>
      <c r="I253" s="15"/>
      <c r="J253" s="20"/>
      <c r="K253" s="8"/>
      <c r="L253" s="8"/>
    </row>
    <row r="254" spans="1:12">
      <c r="A254" s="8"/>
      <c r="B254" s="8"/>
      <c r="C254" s="8"/>
      <c r="D254" s="20"/>
      <c r="E254" s="20"/>
      <c r="F254" s="15"/>
      <c r="G254" s="15"/>
      <c r="H254" s="15"/>
      <c r="I254" s="15"/>
      <c r="J254" s="20"/>
      <c r="K254" s="8"/>
      <c r="L254" s="8"/>
    </row>
    <row r="255" spans="1:12">
      <c r="A255" s="8">
        <v>61</v>
      </c>
      <c r="B255" s="8" t="s">
        <v>56</v>
      </c>
      <c r="C255" s="8" t="s">
        <v>12</v>
      </c>
      <c r="D255" s="39">
        <v>14821.32</v>
      </c>
      <c r="E255" s="20">
        <v>121.61</v>
      </c>
      <c r="F255" s="15">
        <v>0</v>
      </c>
      <c r="G255" s="15">
        <v>0</v>
      </c>
      <c r="H255" s="15">
        <v>0</v>
      </c>
      <c r="I255" s="15">
        <v>0</v>
      </c>
      <c r="J255" s="20">
        <f>SUM(D255:I255)</f>
        <v>14942.93</v>
      </c>
      <c r="K255" s="8"/>
      <c r="L255" s="8"/>
    </row>
    <row r="256" spans="1:12">
      <c r="A256" s="8"/>
      <c r="B256" s="8"/>
      <c r="C256" s="8" t="s">
        <v>13</v>
      </c>
      <c r="D256" s="20">
        <v>227.65</v>
      </c>
      <c r="E256" s="20">
        <v>1.73</v>
      </c>
      <c r="F256" s="15">
        <v>0</v>
      </c>
      <c r="G256" s="15">
        <v>0</v>
      </c>
      <c r="H256" s="15">
        <v>0</v>
      </c>
      <c r="I256" s="15">
        <v>0</v>
      </c>
      <c r="J256" s="20">
        <f>SUM(D256:I256)</f>
        <v>229.38</v>
      </c>
      <c r="K256" s="8"/>
      <c r="L256" s="8"/>
    </row>
    <row r="257" spans="1:12" ht="15.75" thickBot="1">
      <c r="A257" s="8"/>
      <c r="B257" s="8"/>
      <c r="C257" s="8" t="s">
        <v>99</v>
      </c>
      <c r="D257" s="29">
        <v>905.82</v>
      </c>
      <c r="E257" s="29">
        <v>7.48</v>
      </c>
      <c r="F257" s="28">
        <v>0</v>
      </c>
      <c r="G257" s="28">
        <v>0</v>
      </c>
      <c r="H257" s="28">
        <v>0</v>
      </c>
      <c r="I257" s="28">
        <v>0</v>
      </c>
      <c r="J257" s="29">
        <f>SUM(D257:I257)</f>
        <v>913.30000000000007</v>
      </c>
      <c r="K257" s="8"/>
      <c r="L257" s="8"/>
    </row>
    <row r="258" spans="1:12">
      <c r="A258" s="8"/>
      <c r="B258" s="8"/>
      <c r="C258" s="8"/>
      <c r="D258" s="20"/>
      <c r="E258" s="20"/>
      <c r="F258" s="15"/>
      <c r="G258" s="15"/>
      <c r="H258" s="15"/>
      <c r="I258" s="15"/>
      <c r="J258" s="20"/>
      <c r="K258" s="8"/>
      <c r="L258" s="8"/>
    </row>
    <row r="259" spans="1:12" ht="15.75" thickBot="1">
      <c r="A259" s="8"/>
      <c r="B259" s="8"/>
      <c r="C259" s="8" t="s">
        <v>10</v>
      </c>
      <c r="D259" s="31">
        <f>SUM(D255:D257)</f>
        <v>15954.789999999999</v>
      </c>
      <c r="E259" s="31">
        <f t="shared" ref="E259:J259" si="40">SUM(E255:E257)</f>
        <v>130.82</v>
      </c>
      <c r="F259" s="30">
        <f t="shared" si="40"/>
        <v>0</v>
      </c>
      <c r="G259" s="30">
        <f t="shared" si="40"/>
        <v>0</v>
      </c>
      <c r="H259" s="30">
        <f t="shared" si="40"/>
        <v>0</v>
      </c>
      <c r="I259" s="30">
        <f t="shared" si="40"/>
        <v>0</v>
      </c>
      <c r="J259" s="30">
        <f t="shared" si="40"/>
        <v>16085.609999999999</v>
      </c>
      <c r="K259" s="8"/>
      <c r="L259" s="8"/>
    </row>
    <row r="260" spans="1:12" ht="15.75" thickTop="1">
      <c r="A260" s="8"/>
      <c r="B260" s="8"/>
      <c r="C260" s="8"/>
      <c r="D260" s="20"/>
      <c r="E260" s="20"/>
      <c r="F260" s="15"/>
      <c r="G260" s="15"/>
      <c r="H260" s="15"/>
      <c r="I260" s="15"/>
      <c r="J260" s="20"/>
      <c r="K260" s="8"/>
      <c r="L260" s="8"/>
    </row>
    <row r="261" spans="1:12">
      <c r="A261" s="8"/>
      <c r="B261" s="8"/>
      <c r="C261" s="8"/>
      <c r="D261" s="20"/>
      <c r="E261" s="20"/>
      <c r="F261" s="15"/>
      <c r="G261" s="15"/>
      <c r="H261" s="15"/>
      <c r="I261" s="15"/>
      <c r="J261" s="20"/>
      <c r="K261" s="8"/>
      <c r="L261" s="8"/>
    </row>
    <row r="262" spans="1:12">
      <c r="A262" s="8">
        <v>62</v>
      </c>
      <c r="B262" s="8" t="s">
        <v>57</v>
      </c>
      <c r="C262" s="8" t="s">
        <v>12</v>
      </c>
      <c r="D262" s="20">
        <v>4707.54</v>
      </c>
      <c r="E262" s="20">
        <v>26.41</v>
      </c>
      <c r="F262" s="15">
        <v>3.05</v>
      </c>
      <c r="G262" s="15">
        <v>0</v>
      </c>
      <c r="H262" s="15">
        <v>0</v>
      </c>
      <c r="I262" s="15">
        <v>0</v>
      </c>
      <c r="J262" s="20">
        <f>SUM(D262:I262)</f>
        <v>4737</v>
      </c>
      <c r="K262" s="8"/>
      <c r="L262" s="8"/>
    </row>
    <row r="263" spans="1:12" ht="15.75" thickBot="1">
      <c r="A263" s="8"/>
      <c r="B263" s="8"/>
      <c r="C263" s="8" t="s">
        <v>13</v>
      </c>
      <c r="D263" s="29">
        <v>90.45</v>
      </c>
      <c r="E263" s="29">
        <v>0.57999999999999996</v>
      </c>
      <c r="F263" s="28">
        <v>0.16</v>
      </c>
      <c r="G263" s="28">
        <v>0</v>
      </c>
      <c r="H263" s="28">
        <v>0</v>
      </c>
      <c r="I263" s="28">
        <v>0</v>
      </c>
      <c r="J263" s="29">
        <f>SUM(D263:I263)</f>
        <v>91.19</v>
      </c>
      <c r="K263" s="8"/>
      <c r="L263" s="8"/>
    </row>
    <row r="264" spans="1:12">
      <c r="A264" s="8"/>
      <c r="B264" s="8"/>
      <c r="C264" s="8"/>
      <c r="D264" s="20"/>
      <c r="E264" s="20"/>
      <c r="F264" s="15"/>
      <c r="G264" s="15"/>
      <c r="H264" s="15"/>
      <c r="I264" s="15"/>
      <c r="J264" s="20"/>
      <c r="K264" s="8"/>
      <c r="L264" s="8"/>
    </row>
    <row r="265" spans="1:12" ht="15.75" thickBot="1">
      <c r="A265" s="8"/>
      <c r="B265" s="8"/>
      <c r="C265" s="8" t="s">
        <v>10</v>
      </c>
      <c r="D265" s="31">
        <f t="shared" ref="D265:I265" si="41">SUM(D262:D263)</f>
        <v>4797.99</v>
      </c>
      <c r="E265" s="31">
        <f t="shared" si="41"/>
        <v>26.99</v>
      </c>
      <c r="F265" s="30">
        <f t="shared" si="41"/>
        <v>3.21</v>
      </c>
      <c r="G265" s="30">
        <f t="shared" si="41"/>
        <v>0</v>
      </c>
      <c r="H265" s="30">
        <f t="shared" si="41"/>
        <v>0</v>
      </c>
      <c r="I265" s="30">
        <f t="shared" si="41"/>
        <v>0</v>
      </c>
      <c r="J265" s="31">
        <f>SUM(D265:I265)</f>
        <v>4828.1899999999996</v>
      </c>
      <c r="K265" s="8"/>
      <c r="L265" s="8"/>
    </row>
    <row r="266" spans="1:12" ht="15.75" thickTop="1">
      <c r="A266" s="8"/>
      <c r="B266" s="8"/>
      <c r="C266" s="8"/>
      <c r="D266" s="20"/>
      <c r="E266" s="20"/>
      <c r="F266" s="15"/>
      <c r="G266" s="15"/>
      <c r="H266" s="15"/>
      <c r="I266" s="15"/>
      <c r="J266" s="20"/>
      <c r="K266" s="8"/>
      <c r="L266" s="8"/>
    </row>
    <row r="267" spans="1:12">
      <c r="A267" s="8"/>
      <c r="B267" s="8"/>
      <c r="C267" s="8"/>
      <c r="D267" s="20"/>
      <c r="E267" s="20"/>
      <c r="F267" s="15"/>
      <c r="G267" s="15"/>
      <c r="H267" s="15"/>
      <c r="I267" s="15"/>
      <c r="J267" s="20"/>
      <c r="K267" s="8"/>
      <c r="L267" s="8"/>
    </row>
    <row r="268" spans="1:12">
      <c r="A268" s="8">
        <v>63</v>
      </c>
      <c r="B268" s="8" t="s">
        <v>58</v>
      </c>
      <c r="C268" s="8" t="s">
        <v>12</v>
      </c>
      <c r="D268" s="20">
        <v>11854.92</v>
      </c>
      <c r="E268" s="20">
        <v>288.41000000000003</v>
      </c>
      <c r="F268" s="15">
        <v>47.26</v>
      </c>
      <c r="G268" s="15">
        <v>0</v>
      </c>
      <c r="H268" s="15">
        <v>0</v>
      </c>
      <c r="I268" s="15">
        <v>0</v>
      </c>
      <c r="J268" s="20">
        <f>SUM(D268:I268)</f>
        <v>12190.59</v>
      </c>
      <c r="K268" s="8"/>
      <c r="L268" s="8"/>
    </row>
    <row r="269" spans="1:12" ht="15.75" thickBot="1">
      <c r="A269" s="8"/>
      <c r="B269" s="8"/>
      <c r="C269" s="8" t="s">
        <v>13</v>
      </c>
      <c r="D269" s="29">
        <v>239.14</v>
      </c>
      <c r="E269" s="29">
        <v>11.33</v>
      </c>
      <c r="F269" s="28">
        <v>2.02</v>
      </c>
      <c r="G269" s="28">
        <v>0</v>
      </c>
      <c r="H269" s="28">
        <v>0</v>
      </c>
      <c r="I269" s="28">
        <v>0</v>
      </c>
      <c r="J269" s="29">
        <f>SUM(D269:I269)</f>
        <v>252.49</v>
      </c>
      <c r="K269" s="8"/>
      <c r="L269" s="8"/>
    </row>
    <row r="270" spans="1:12">
      <c r="A270" s="8"/>
      <c r="B270" s="8"/>
      <c r="C270" s="8"/>
      <c r="D270" s="20"/>
      <c r="E270" s="20"/>
      <c r="F270" s="15"/>
      <c r="G270" s="15"/>
      <c r="H270" s="15"/>
      <c r="I270" s="15"/>
      <c r="J270" s="20"/>
      <c r="K270" s="8"/>
      <c r="L270" s="8"/>
    </row>
    <row r="271" spans="1:12" ht="15.75" thickBot="1">
      <c r="A271" s="8"/>
      <c r="B271" s="8"/>
      <c r="C271" s="8" t="s">
        <v>10</v>
      </c>
      <c r="D271" s="31">
        <f t="shared" ref="D271:I271" si="42">SUM(D268:D269)</f>
        <v>12094.06</v>
      </c>
      <c r="E271" s="31">
        <f t="shared" si="42"/>
        <v>299.74</v>
      </c>
      <c r="F271" s="30">
        <f t="shared" si="42"/>
        <v>49.28</v>
      </c>
      <c r="G271" s="30">
        <f t="shared" si="42"/>
        <v>0</v>
      </c>
      <c r="H271" s="30">
        <f t="shared" si="42"/>
        <v>0</v>
      </c>
      <c r="I271" s="30">
        <f t="shared" si="42"/>
        <v>0</v>
      </c>
      <c r="J271" s="31">
        <f>SUM(D271:I271)</f>
        <v>12443.08</v>
      </c>
      <c r="K271" s="8"/>
      <c r="L271" s="8"/>
    </row>
    <row r="272" spans="1:12" ht="15.75" thickTop="1">
      <c r="A272" s="8"/>
      <c r="B272" s="8"/>
      <c r="C272" s="8"/>
      <c r="D272" s="20"/>
      <c r="E272" s="20"/>
      <c r="F272" s="15"/>
      <c r="G272" s="15"/>
      <c r="H272" s="15"/>
      <c r="I272" s="15"/>
      <c r="J272" s="20"/>
      <c r="K272" s="8"/>
      <c r="L272" s="8"/>
    </row>
    <row r="273" spans="1:12">
      <c r="A273" s="8"/>
      <c r="B273" s="8"/>
      <c r="C273" s="8"/>
      <c r="D273" s="20"/>
      <c r="E273" s="20"/>
      <c r="F273" s="15"/>
      <c r="G273" s="15"/>
      <c r="H273" s="15"/>
      <c r="I273" s="15"/>
      <c r="J273" s="20"/>
      <c r="K273" s="8"/>
      <c r="L273" s="8"/>
    </row>
    <row r="274" spans="1:12" ht="15.75" thickBot="1">
      <c r="A274" s="8">
        <v>64</v>
      </c>
      <c r="B274" s="8" t="s">
        <v>59</v>
      </c>
      <c r="C274" s="8" t="s">
        <v>12</v>
      </c>
      <c r="D274" s="29">
        <v>63038.92</v>
      </c>
      <c r="E274" s="29">
        <v>3075.51</v>
      </c>
      <c r="F274" s="28">
        <v>315.25</v>
      </c>
      <c r="G274" s="28">
        <v>262.94</v>
      </c>
      <c r="H274" s="28">
        <v>307.14</v>
      </c>
      <c r="I274" s="28">
        <v>18.920000000000002</v>
      </c>
      <c r="J274" s="29">
        <f>SUM(D274:I274)</f>
        <v>67018.679999999993</v>
      </c>
      <c r="K274" s="8"/>
      <c r="L274" s="8"/>
    </row>
    <row r="275" spans="1:12">
      <c r="A275" s="8"/>
      <c r="B275" s="8"/>
      <c r="C275" s="8"/>
      <c r="D275" s="20"/>
      <c r="E275" s="20"/>
      <c r="F275" s="15"/>
      <c r="G275" s="15"/>
      <c r="H275" s="15"/>
      <c r="I275" s="15"/>
      <c r="J275" s="20"/>
      <c r="K275" s="8"/>
      <c r="L275" s="8"/>
    </row>
    <row r="276" spans="1:12" ht="15.75" thickBot="1">
      <c r="A276" s="8"/>
      <c r="B276" s="8"/>
      <c r="C276" s="8" t="s">
        <v>10</v>
      </c>
      <c r="D276" s="31">
        <f t="shared" ref="D276:I276" si="43">SUM(D274:D275)</f>
        <v>63038.92</v>
      </c>
      <c r="E276" s="31">
        <f t="shared" si="43"/>
        <v>3075.51</v>
      </c>
      <c r="F276" s="30">
        <f t="shared" si="43"/>
        <v>315.25</v>
      </c>
      <c r="G276" s="30">
        <f t="shared" si="43"/>
        <v>262.94</v>
      </c>
      <c r="H276" s="30">
        <f t="shared" si="43"/>
        <v>307.14</v>
      </c>
      <c r="I276" s="30">
        <f t="shared" si="43"/>
        <v>18.920000000000002</v>
      </c>
      <c r="J276" s="31">
        <f>SUM(D276:I276)</f>
        <v>67018.679999999993</v>
      </c>
      <c r="K276" s="8"/>
      <c r="L276" s="8"/>
    </row>
    <row r="277" spans="1:12" ht="15.75" thickTop="1">
      <c r="A277" s="8"/>
      <c r="B277" s="8"/>
      <c r="C277" s="8"/>
      <c r="D277" s="20"/>
      <c r="E277" s="20"/>
      <c r="F277" s="15"/>
      <c r="G277" s="15"/>
      <c r="H277" s="15"/>
      <c r="I277" s="15"/>
      <c r="J277" s="20"/>
      <c r="K277" s="8"/>
      <c r="L277" s="8"/>
    </row>
    <row r="278" spans="1:12">
      <c r="A278" s="8"/>
      <c r="B278" s="12"/>
      <c r="C278" s="12"/>
      <c r="D278" s="36"/>
      <c r="E278" s="36"/>
      <c r="F278" s="16"/>
      <c r="G278" s="13"/>
      <c r="H278" s="13"/>
      <c r="I278" s="13"/>
      <c r="J278" s="20"/>
      <c r="K278" s="8"/>
      <c r="L278" s="8"/>
    </row>
    <row r="279" spans="1:12">
      <c r="A279" s="8">
        <v>65</v>
      </c>
      <c r="B279" s="8" t="s">
        <v>60</v>
      </c>
      <c r="C279" s="8" t="s">
        <v>12</v>
      </c>
      <c r="D279" s="20">
        <v>8590.9699999999993</v>
      </c>
      <c r="E279" s="20">
        <v>44.9</v>
      </c>
      <c r="F279" s="15">
        <v>0.27</v>
      </c>
      <c r="G279" s="15">
        <v>0</v>
      </c>
      <c r="H279" s="15">
        <v>0</v>
      </c>
      <c r="I279" s="15">
        <v>0</v>
      </c>
      <c r="J279" s="20">
        <f>SUM(D279:I279)</f>
        <v>8636.14</v>
      </c>
      <c r="K279" s="8"/>
      <c r="L279" s="8"/>
    </row>
    <row r="280" spans="1:12" ht="15.75" thickBot="1">
      <c r="A280" s="8"/>
      <c r="B280" s="8"/>
      <c r="C280" s="8" t="s">
        <v>13</v>
      </c>
      <c r="D280" s="29"/>
      <c r="E280" s="29"/>
      <c r="F280" s="28"/>
      <c r="G280" s="28"/>
      <c r="H280" s="28"/>
      <c r="I280" s="28"/>
      <c r="J280" s="29"/>
      <c r="K280" s="8"/>
      <c r="L280" s="8"/>
    </row>
    <row r="281" spans="1:12">
      <c r="A281" s="8"/>
      <c r="B281" s="8"/>
      <c r="C281" s="8"/>
      <c r="D281" s="20"/>
      <c r="E281" s="20"/>
      <c r="F281" s="15"/>
      <c r="G281" s="15"/>
      <c r="H281" s="15"/>
      <c r="I281" s="15"/>
      <c r="J281" s="20"/>
      <c r="K281" s="8"/>
      <c r="L281" s="8"/>
    </row>
    <row r="282" spans="1:12" ht="15.75" thickBot="1">
      <c r="A282" s="8"/>
      <c r="B282" s="8"/>
      <c r="C282" s="8" t="s">
        <v>10</v>
      </c>
      <c r="D282" s="31">
        <f t="shared" ref="D282:I282" si="44">SUM(D279:D280)</f>
        <v>8590.9699999999993</v>
      </c>
      <c r="E282" s="31">
        <f t="shared" si="44"/>
        <v>44.9</v>
      </c>
      <c r="F282" s="30">
        <f t="shared" si="44"/>
        <v>0.27</v>
      </c>
      <c r="G282" s="30">
        <f t="shared" si="44"/>
        <v>0</v>
      </c>
      <c r="H282" s="30">
        <f t="shared" si="44"/>
        <v>0</v>
      </c>
      <c r="I282" s="30">
        <f t="shared" si="44"/>
        <v>0</v>
      </c>
      <c r="J282" s="31">
        <f>SUM(D282:I282)</f>
        <v>8636.14</v>
      </c>
      <c r="K282" s="8"/>
      <c r="L282" s="8"/>
    </row>
    <row r="283" spans="1:12" ht="15.75" thickTop="1">
      <c r="A283" s="8"/>
      <c r="B283" s="8"/>
      <c r="C283" s="8"/>
      <c r="D283" s="20"/>
      <c r="E283" s="20"/>
      <c r="F283" s="15"/>
      <c r="G283" s="15"/>
      <c r="H283" s="15"/>
      <c r="I283" s="15"/>
      <c r="J283" s="20"/>
      <c r="K283" s="8"/>
      <c r="L283" s="8"/>
    </row>
    <row r="284" spans="1:12">
      <c r="A284" s="8"/>
      <c r="B284" s="8"/>
      <c r="C284" s="8"/>
      <c r="D284" s="20"/>
      <c r="E284" s="20"/>
      <c r="F284" s="15"/>
      <c r="G284" s="15"/>
      <c r="H284" s="15"/>
      <c r="I284" s="15"/>
      <c r="J284" s="20"/>
      <c r="K284" s="8"/>
      <c r="L284" s="8"/>
    </row>
    <row r="285" spans="1:12">
      <c r="A285" s="8">
        <v>66</v>
      </c>
      <c r="B285" s="8" t="s">
        <v>61</v>
      </c>
      <c r="C285" s="8" t="s">
        <v>12</v>
      </c>
      <c r="D285" s="20">
        <v>10185.68</v>
      </c>
      <c r="E285" s="20">
        <v>659.09</v>
      </c>
      <c r="F285" s="15">
        <v>617.65</v>
      </c>
      <c r="G285" s="15">
        <v>476.25</v>
      </c>
      <c r="H285" s="15">
        <v>82.72</v>
      </c>
      <c r="I285" s="15">
        <v>0</v>
      </c>
      <c r="J285" s="20">
        <f>SUM(D285:I285)</f>
        <v>12021.39</v>
      </c>
      <c r="K285" s="8"/>
      <c r="L285" s="8"/>
    </row>
    <row r="286" spans="1:12">
      <c r="A286" s="8"/>
      <c r="B286" s="8"/>
      <c r="C286" s="8" t="s">
        <v>13</v>
      </c>
      <c r="D286" s="20">
        <v>672.63</v>
      </c>
      <c r="E286" s="20">
        <v>43.98</v>
      </c>
      <c r="F286" s="15">
        <v>41.22</v>
      </c>
      <c r="G286" s="15">
        <v>31.63</v>
      </c>
      <c r="H286" s="15">
        <v>5.48</v>
      </c>
      <c r="I286" s="15">
        <v>0</v>
      </c>
      <c r="J286" s="35">
        <f>SUM(D286:I286)</f>
        <v>794.94</v>
      </c>
      <c r="K286" s="8"/>
      <c r="L286" s="8"/>
    </row>
    <row r="287" spans="1:12" ht="15.75" thickBot="1">
      <c r="A287" s="8"/>
      <c r="B287" s="8"/>
      <c r="C287" s="8" t="s">
        <v>73</v>
      </c>
      <c r="D287" s="29"/>
      <c r="E287" s="29"/>
      <c r="F287" s="28"/>
      <c r="G287" s="27"/>
      <c r="H287" s="27"/>
      <c r="I287" s="27"/>
      <c r="J287" s="29">
        <f>SUM(D287:I287)</f>
        <v>0</v>
      </c>
      <c r="K287" s="8"/>
      <c r="L287" s="8"/>
    </row>
    <row r="288" spans="1:12">
      <c r="A288" s="8"/>
      <c r="B288" s="8"/>
      <c r="C288" s="8"/>
      <c r="D288" s="20"/>
      <c r="E288" s="20"/>
      <c r="F288" s="15"/>
      <c r="G288" s="8"/>
      <c r="H288" s="8"/>
      <c r="I288" s="8"/>
      <c r="J288" s="20"/>
      <c r="K288" s="8"/>
      <c r="L288" s="8"/>
    </row>
    <row r="289" spans="1:12" ht="15.75" thickBot="1">
      <c r="A289" s="8"/>
      <c r="B289" s="8"/>
      <c r="C289" s="8" t="s">
        <v>10</v>
      </c>
      <c r="D289" s="31">
        <f t="shared" ref="D289:I289" si="45">SUM(D285:D287)</f>
        <v>10858.31</v>
      </c>
      <c r="E289" s="31">
        <f t="shared" si="45"/>
        <v>703.07</v>
      </c>
      <c r="F289" s="30">
        <f t="shared" si="45"/>
        <v>658.87</v>
      </c>
      <c r="G289" s="30">
        <f t="shared" si="45"/>
        <v>507.88</v>
      </c>
      <c r="H289" s="30">
        <f t="shared" si="45"/>
        <v>88.2</v>
      </c>
      <c r="I289" s="30">
        <f t="shared" si="45"/>
        <v>0</v>
      </c>
      <c r="J289" s="31">
        <f>SUM(D289:I289)</f>
        <v>12816.33</v>
      </c>
      <c r="K289" s="8"/>
      <c r="L289" s="8"/>
    </row>
    <row r="290" spans="1:12" ht="15.75" thickTop="1">
      <c r="A290" s="8"/>
      <c r="B290" s="8"/>
      <c r="C290" s="8"/>
      <c r="D290" s="20"/>
      <c r="E290" s="20"/>
      <c r="F290" s="15"/>
      <c r="G290" s="15"/>
      <c r="H290" s="15"/>
      <c r="I290" s="15"/>
      <c r="J290" s="20"/>
      <c r="K290" s="8"/>
      <c r="L290" s="8"/>
    </row>
    <row r="291" spans="1:12">
      <c r="A291" s="8"/>
      <c r="B291" s="8"/>
      <c r="C291" s="8"/>
      <c r="D291" s="20"/>
      <c r="E291" s="20"/>
      <c r="F291" s="15"/>
      <c r="G291" s="15"/>
      <c r="H291" s="15"/>
      <c r="I291" s="15"/>
      <c r="J291" s="20"/>
      <c r="K291" s="8"/>
      <c r="L291" s="8"/>
    </row>
    <row r="292" spans="1:12">
      <c r="A292" s="8">
        <v>67</v>
      </c>
      <c r="B292" s="8" t="s">
        <v>62</v>
      </c>
      <c r="C292" s="8" t="s">
        <v>12</v>
      </c>
      <c r="D292" s="20">
        <v>11591.25</v>
      </c>
      <c r="E292" s="20">
        <v>744.78</v>
      </c>
      <c r="F292" s="15">
        <v>110.97</v>
      </c>
      <c r="G292" s="15">
        <v>33.29</v>
      </c>
      <c r="H292" s="15">
        <v>0</v>
      </c>
      <c r="I292" s="15">
        <v>0</v>
      </c>
      <c r="J292" s="20">
        <f>SUM(D292:I292)</f>
        <v>12480.29</v>
      </c>
      <c r="K292" s="8"/>
      <c r="L292" s="8"/>
    </row>
    <row r="293" spans="1:12" ht="15.75" thickBot="1">
      <c r="A293" s="8"/>
      <c r="B293" s="8"/>
      <c r="C293" s="8" t="s">
        <v>13</v>
      </c>
      <c r="D293" s="29">
        <v>312.87</v>
      </c>
      <c r="E293" s="29">
        <v>18.920000000000002</v>
      </c>
      <c r="F293" s="28">
        <v>2.77</v>
      </c>
      <c r="G293" s="28">
        <v>0.92</v>
      </c>
      <c r="H293" s="28">
        <v>0</v>
      </c>
      <c r="I293" s="28">
        <v>0</v>
      </c>
      <c r="J293" s="29">
        <f>SUM(D293:I293)</f>
        <v>335.48</v>
      </c>
      <c r="K293" s="8"/>
      <c r="L293" s="8"/>
    </row>
    <row r="294" spans="1:12">
      <c r="A294" s="8"/>
      <c r="B294" s="8"/>
      <c r="C294" s="8"/>
      <c r="D294" s="20"/>
      <c r="E294" s="20"/>
      <c r="F294" s="15"/>
      <c r="G294" s="15"/>
      <c r="H294" s="15"/>
      <c r="I294" s="15"/>
      <c r="J294" s="20"/>
      <c r="K294" s="8"/>
      <c r="L294" s="8"/>
    </row>
    <row r="295" spans="1:12" ht="15.75" thickBot="1">
      <c r="A295" s="8"/>
      <c r="B295" s="8"/>
      <c r="C295" s="8" t="s">
        <v>10</v>
      </c>
      <c r="D295" s="31">
        <f t="shared" ref="D295:I295" si="46">SUM(D292:D293)</f>
        <v>11904.12</v>
      </c>
      <c r="E295" s="31">
        <f t="shared" si="46"/>
        <v>763.69999999999993</v>
      </c>
      <c r="F295" s="30">
        <f t="shared" si="46"/>
        <v>113.74</v>
      </c>
      <c r="G295" s="30">
        <f t="shared" si="46"/>
        <v>34.21</v>
      </c>
      <c r="H295" s="30">
        <f t="shared" si="46"/>
        <v>0</v>
      </c>
      <c r="I295" s="30">
        <f t="shared" si="46"/>
        <v>0</v>
      </c>
      <c r="J295" s="31">
        <f>SUM(D295:I295)</f>
        <v>12815.77</v>
      </c>
      <c r="K295" s="8"/>
      <c r="L295" s="8"/>
    </row>
    <row r="296" spans="1:12" ht="15.75" thickTop="1">
      <c r="A296" s="8"/>
      <c r="B296" s="8"/>
      <c r="C296" s="8"/>
      <c r="D296" s="20"/>
      <c r="E296" s="20"/>
      <c r="F296" s="15"/>
      <c r="G296" s="15"/>
      <c r="H296" s="15"/>
      <c r="I296" s="15"/>
      <c r="J296" s="20"/>
      <c r="K296" s="8"/>
      <c r="L296" s="8"/>
    </row>
    <row r="297" spans="1:12">
      <c r="A297" s="8"/>
      <c r="B297" s="8"/>
      <c r="C297" s="8"/>
      <c r="D297" s="20"/>
      <c r="E297" s="20"/>
      <c r="F297" s="15"/>
      <c r="G297" s="15"/>
      <c r="H297" s="15"/>
      <c r="I297" s="15"/>
      <c r="J297" s="20"/>
      <c r="K297" s="8"/>
      <c r="L297" s="8"/>
    </row>
    <row r="298" spans="1:12">
      <c r="A298" s="8">
        <v>68</v>
      </c>
      <c r="B298" s="8" t="s">
        <v>63</v>
      </c>
      <c r="C298" s="8" t="s">
        <v>12</v>
      </c>
      <c r="D298" s="20">
        <v>7773.63</v>
      </c>
      <c r="E298" s="20">
        <v>28.49</v>
      </c>
      <c r="F298" s="15">
        <v>0</v>
      </c>
      <c r="G298" s="15">
        <v>0</v>
      </c>
      <c r="H298" s="15">
        <v>0</v>
      </c>
      <c r="I298" s="15">
        <v>0</v>
      </c>
      <c r="J298" s="20">
        <f>SUM(D298:I298)</f>
        <v>7802.12</v>
      </c>
      <c r="K298" s="8"/>
      <c r="L298" s="8"/>
    </row>
    <row r="299" spans="1:12" ht="15.75" thickBot="1">
      <c r="A299" s="8"/>
      <c r="B299" s="8"/>
      <c r="C299" s="8" t="s">
        <v>13</v>
      </c>
      <c r="D299" s="29"/>
      <c r="E299" s="29"/>
      <c r="F299" s="28"/>
      <c r="G299" s="28"/>
      <c r="H299" s="28"/>
      <c r="I299" s="28"/>
      <c r="J299" s="29"/>
      <c r="K299" s="8"/>
      <c r="L299" s="8"/>
    </row>
    <row r="300" spans="1:12">
      <c r="A300" s="8"/>
      <c r="B300" s="8"/>
      <c r="C300" s="8"/>
      <c r="D300" s="20"/>
      <c r="E300" s="20"/>
      <c r="F300" s="15"/>
      <c r="G300" s="15"/>
      <c r="H300" s="15"/>
      <c r="I300" s="15"/>
      <c r="J300" s="20"/>
      <c r="K300" s="8"/>
      <c r="L300" s="8"/>
    </row>
    <row r="301" spans="1:12" ht="15.75" thickBot="1">
      <c r="A301" s="8"/>
      <c r="B301" s="8"/>
      <c r="C301" s="8" t="s">
        <v>10</v>
      </c>
      <c r="D301" s="31">
        <f t="shared" ref="D301:I301" si="47">SUM(D298:D299)</f>
        <v>7773.63</v>
      </c>
      <c r="E301" s="31">
        <f t="shared" si="47"/>
        <v>28.49</v>
      </c>
      <c r="F301" s="30">
        <f t="shared" si="47"/>
        <v>0</v>
      </c>
      <c r="G301" s="30">
        <f t="shared" si="47"/>
        <v>0</v>
      </c>
      <c r="H301" s="30">
        <f t="shared" si="47"/>
        <v>0</v>
      </c>
      <c r="I301" s="30">
        <f t="shared" si="47"/>
        <v>0</v>
      </c>
      <c r="J301" s="31">
        <f>SUM(D301:I301)</f>
        <v>7802.12</v>
      </c>
      <c r="K301" s="8"/>
      <c r="L301" s="8"/>
    </row>
    <row r="302" spans="1:12" ht="15.75" thickTop="1">
      <c r="A302" s="8"/>
      <c r="B302" s="8"/>
      <c r="C302" s="8"/>
      <c r="D302" s="20"/>
      <c r="E302" s="20"/>
      <c r="F302" s="15"/>
      <c r="G302" s="15"/>
      <c r="H302" s="15"/>
      <c r="I302" s="15"/>
      <c r="J302" s="20"/>
      <c r="K302" s="8"/>
      <c r="L302" s="8"/>
    </row>
    <row r="303" spans="1:12">
      <c r="A303" s="8"/>
      <c r="B303" s="8"/>
      <c r="C303" s="8"/>
      <c r="D303" s="20"/>
      <c r="E303" s="20"/>
      <c r="F303" s="15"/>
      <c r="G303" s="15"/>
      <c r="H303" s="15"/>
      <c r="I303" s="15"/>
      <c r="J303" s="20"/>
      <c r="K303" s="8"/>
      <c r="L303" s="8"/>
    </row>
    <row r="304" spans="1:12">
      <c r="A304" s="8">
        <v>69</v>
      </c>
      <c r="B304" s="8" t="s">
        <v>64</v>
      </c>
      <c r="C304" s="8" t="s">
        <v>12</v>
      </c>
      <c r="D304" s="20">
        <v>9072.84</v>
      </c>
      <c r="E304" s="20">
        <v>216.38</v>
      </c>
      <c r="F304" s="15">
        <v>3.95</v>
      </c>
      <c r="G304" s="15">
        <v>0</v>
      </c>
      <c r="H304" s="15">
        <v>0</v>
      </c>
      <c r="I304" s="15">
        <v>0</v>
      </c>
      <c r="J304" s="20">
        <f>SUM(D304:I304)</f>
        <v>9293.17</v>
      </c>
      <c r="K304" s="8"/>
      <c r="L304" s="8"/>
    </row>
    <row r="305" spans="1:12" ht="15.75" thickBot="1">
      <c r="A305" s="8"/>
      <c r="B305" s="8"/>
      <c r="C305" s="8" t="s">
        <v>13</v>
      </c>
      <c r="D305" s="29"/>
      <c r="E305" s="29"/>
      <c r="F305" s="28"/>
      <c r="G305" s="28"/>
      <c r="H305" s="28"/>
      <c r="I305" s="28"/>
      <c r="J305" s="34">
        <v>0</v>
      </c>
      <c r="K305" s="8"/>
      <c r="L305" s="8"/>
    </row>
    <row r="306" spans="1:12">
      <c r="A306" s="8"/>
      <c r="B306" s="8"/>
      <c r="C306" s="8"/>
      <c r="D306" s="20"/>
      <c r="E306" s="20"/>
      <c r="F306" s="15"/>
      <c r="G306" s="15"/>
      <c r="H306" s="15"/>
      <c r="I306" s="15"/>
      <c r="J306" s="20"/>
      <c r="K306" s="8"/>
      <c r="L306" s="8"/>
    </row>
    <row r="307" spans="1:12" ht="15.75" thickBot="1">
      <c r="A307" s="8"/>
      <c r="B307" s="8"/>
      <c r="C307" s="8" t="s">
        <v>10</v>
      </c>
      <c r="D307" s="31">
        <f t="shared" ref="D307:I307" si="48">SUM(D304:D305)</f>
        <v>9072.84</v>
      </c>
      <c r="E307" s="31">
        <f t="shared" si="48"/>
        <v>216.38</v>
      </c>
      <c r="F307" s="30">
        <f t="shared" si="48"/>
        <v>3.95</v>
      </c>
      <c r="G307" s="30">
        <f t="shared" si="48"/>
        <v>0</v>
      </c>
      <c r="H307" s="30">
        <f t="shared" si="48"/>
        <v>0</v>
      </c>
      <c r="I307" s="30">
        <f t="shared" si="48"/>
        <v>0</v>
      </c>
      <c r="J307" s="31">
        <f>SUM(D307:I307)</f>
        <v>9293.17</v>
      </c>
      <c r="K307" s="8"/>
      <c r="L307" s="8"/>
    </row>
    <row r="308" spans="1:12" ht="15.75" thickTop="1">
      <c r="A308" s="8"/>
      <c r="B308" s="8"/>
      <c r="C308" s="8"/>
      <c r="D308" s="20"/>
      <c r="E308" s="20"/>
      <c r="F308" s="15"/>
      <c r="G308" s="15"/>
      <c r="H308" s="15"/>
      <c r="I308" s="15"/>
      <c r="J308" s="20"/>
      <c r="K308" s="8"/>
      <c r="L308" s="8"/>
    </row>
    <row r="309" spans="1:12">
      <c r="A309" s="8"/>
      <c r="B309" s="8"/>
      <c r="C309" s="8"/>
      <c r="D309" s="20"/>
      <c r="E309" s="20"/>
      <c r="F309" s="15"/>
      <c r="G309" s="15"/>
      <c r="H309" s="15"/>
      <c r="I309" s="15"/>
      <c r="J309" s="20"/>
      <c r="K309" s="8"/>
      <c r="L309" s="8"/>
    </row>
    <row r="310" spans="1:12">
      <c r="A310" s="8">
        <v>70</v>
      </c>
      <c r="B310" s="8" t="s">
        <v>65</v>
      </c>
      <c r="C310" s="8" t="s">
        <v>12</v>
      </c>
      <c r="D310" s="20">
        <v>9537.7199999999993</v>
      </c>
      <c r="E310" s="20">
        <v>12.58</v>
      </c>
      <c r="F310" s="15">
        <v>0</v>
      </c>
      <c r="G310" s="15">
        <v>0</v>
      </c>
      <c r="H310" s="15">
        <v>0</v>
      </c>
      <c r="I310" s="15">
        <v>0</v>
      </c>
      <c r="J310" s="20">
        <f>SUM(D310:I310)</f>
        <v>9550.2999999999993</v>
      </c>
      <c r="K310" s="8"/>
      <c r="L310" s="8"/>
    </row>
    <row r="311" spans="1:12" ht="15.75" thickBot="1">
      <c r="A311" s="8"/>
      <c r="B311" s="8"/>
      <c r="C311" s="8" t="s">
        <v>78</v>
      </c>
      <c r="D311" s="29"/>
      <c r="E311" s="29"/>
      <c r="F311" s="28"/>
      <c r="G311" s="28"/>
      <c r="H311" s="28"/>
      <c r="I311" s="28"/>
      <c r="J311" s="29">
        <f>SUM(D311:I311)</f>
        <v>0</v>
      </c>
      <c r="K311" s="8"/>
      <c r="L311" s="8"/>
    </row>
    <row r="312" spans="1:12">
      <c r="A312" s="8"/>
      <c r="B312" s="8"/>
      <c r="C312" s="8"/>
      <c r="D312" s="20"/>
      <c r="E312" s="20"/>
      <c r="F312" s="15"/>
      <c r="G312" s="15"/>
      <c r="H312" s="15"/>
      <c r="I312" s="15"/>
      <c r="J312" s="20"/>
      <c r="K312" s="8"/>
      <c r="L312" s="8"/>
    </row>
    <row r="313" spans="1:12" ht="15.75" thickBot="1">
      <c r="A313" s="8"/>
      <c r="B313" s="8"/>
      <c r="C313" s="8" t="s">
        <v>10</v>
      </c>
      <c r="D313" s="31">
        <f t="shared" ref="D313:I313" si="49">SUM(D310:D312)</f>
        <v>9537.7199999999993</v>
      </c>
      <c r="E313" s="31">
        <f t="shared" si="49"/>
        <v>12.58</v>
      </c>
      <c r="F313" s="30">
        <f t="shared" si="49"/>
        <v>0</v>
      </c>
      <c r="G313" s="30">
        <f t="shared" si="49"/>
        <v>0</v>
      </c>
      <c r="H313" s="30">
        <f t="shared" si="49"/>
        <v>0</v>
      </c>
      <c r="I313" s="30">
        <f t="shared" si="49"/>
        <v>0</v>
      </c>
      <c r="J313" s="31">
        <f>SUM(D313:I313)</f>
        <v>9550.2999999999993</v>
      </c>
      <c r="K313" s="8"/>
      <c r="L313" s="8"/>
    </row>
    <row r="314" spans="1:12" ht="15.75" thickTop="1">
      <c r="A314" s="8"/>
      <c r="B314" s="8"/>
      <c r="C314" s="8"/>
      <c r="D314" s="20"/>
      <c r="E314" s="20"/>
      <c r="F314" s="15"/>
      <c r="G314" s="15"/>
      <c r="H314" s="15"/>
      <c r="I314" s="15"/>
      <c r="J314" s="20"/>
      <c r="K314" s="8"/>
      <c r="L314" s="8"/>
    </row>
    <row r="315" spans="1:12">
      <c r="A315" s="8"/>
      <c r="B315" s="8"/>
      <c r="C315" s="8" t="s">
        <v>66</v>
      </c>
      <c r="D315" s="20">
        <f t="shared" ref="D315:I315" si="50">SUM(D9:D313)/2</f>
        <v>644853.64999999967</v>
      </c>
      <c r="E315" s="20">
        <f t="shared" si="50"/>
        <v>18600.020000000004</v>
      </c>
      <c r="F315" s="15">
        <f t="shared" si="50"/>
        <v>7301.6800000000012</v>
      </c>
      <c r="G315" s="15">
        <f t="shared" si="50"/>
        <v>2989.93</v>
      </c>
      <c r="H315" s="15">
        <f t="shared" si="50"/>
        <v>1647.98</v>
      </c>
      <c r="I315" s="15">
        <f t="shared" si="50"/>
        <v>20.18</v>
      </c>
      <c r="J315" s="20">
        <f>SUM(D315:I315)</f>
        <v>675413.43999999983</v>
      </c>
      <c r="K315" s="8"/>
      <c r="L315" s="8"/>
    </row>
    <row r="316" spans="1:12">
      <c r="A316" s="8"/>
      <c r="B316" s="8"/>
      <c r="C316" s="8"/>
      <c r="D316" s="20"/>
      <c r="E316" s="20"/>
      <c r="F316" s="15"/>
      <c r="G316" s="8"/>
      <c r="H316" s="8"/>
      <c r="I316" s="8"/>
      <c r="J316" s="20"/>
      <c r="K316" s="8"/>
      <c r="L316" s="8"/>
    </row>
    <row r="317" spans="1:12">
      <c r="A317" s="8"/>
      <c r="B317" s="8"/>
      <c r="C317" s="8"/>
      <c r="D317" s="20"/>
      <c r="E317" s="20"/>
      <c r="F317" s="8"/>
      <c r="G317" s="8"/>
      <c r="H317" s="8"/>
      <c r="I317" s="8"/>
      <c r="J317" s="20"/>
      <c r="K317" s="8"/>
      <c r="L317" s="8"/>
    </row>
  </sheetData>
  <phoneticPr fontId="0" type="noConversion"/>
  <pageMargins left="0.25" right="0.25" top="0.25" bottom="0.25" header="0.5" footer="0.5"/>
  <pageSetup scale="70" fitToHeight="50" orientation="landscape" r:id="rId1"/>
  <headerFooter alignWithMargins="0"/>
  <rowBreaks count="51" manualBreakCount="51">
    <brk id="7" max="65535" man="1"/>
    <brk id="13" max="16383" man="1"/>
    <brk id="19" max="16383" man="1"/>
    <brk id="25" max="16383" man="1"/>
    <brk id="31" max="16383" man="1"/>
    <brk id="37" max="16383" man="1"/>
    <brk id="44" max="16383" man="1"/>
    <brk id="49" max="65535" man="1"/>
    <brk id="57" max="16383" man="1"/>
    <brk id="65" max="16383" man="1"/>
    <brk id="71" max="16383" man="1"/>
    <brk id="77" max="16383" man="1"/>
    <brk id="85" max="16383" man="1"/>
    <brk id="91" max="16383" man="1"/>
    <brk id="99" max="16383" man="1"/>
    <brk id="104" max="16383" man="1"/>
    <brk id="111" max="16383" man="1"/>
    <brk id="116" max="16383" man="1"/>
    <brk id="124" max="16383" man="1"/>
    <brk id="128" max="9" man="1"/>
    <brk id="134" max="16383" man="1"/>
    <brk id="141" max="16383" man="1"/>
    <brk id="147" max="16383" man="1"/>
    <brk id="155" max="16383" man="1"/>
    <brk id="160" max="9" man="1"/>
    <brk id="165" max="16383" man="1"/>
    <brk id="170" max="16383" man="1"/>
    <brk id="175" max="16383" man="1"/>
    <brk id="180" max="16383" man="1"/>
    <brk id="185" max="16383" man="1"/>
    <brk id="191" max="16383" man="1"/>
    <brk id="198" max="16383" man="1"/>
    <brk id="204" max="16383" man="1"/>
    <brk id="212" max="16383" man="1"/>
    <brk id="218" max="16383" man="1"/>
    <brk id="224" max="16383" man="1"/>
    <brk id="230" max="16383" man="1"/>
    <brk id="236" max="16383" man="1"/>
    <brk id="242" max="16383" man="1"/>
    <brk id="248" max="16383" man="1"/>
    <brk id="253" max="16383" man="1"/>
    <brk id="260" max="16383" man="1"/>
    <brk id="266" max="16383" man="1"/>
    <brk id="272" max="16383" man="1"/>
    <brk id="277" max="16383" man="1"/>
    <brk id="283" max="16383" man="1"/>
    <brk id="290" max="16383" man="1"/>
    <brk id="296" max="16383" man="1"/>
    <brk id="302" max="16383" man="1"/>
    <brk id="308" max="16383" man="1"/>
    <brk id="31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/>
  </sheetPr>
  <dimension ref="A1:L321"/>
  <sheetViews>
    <sheetView showOutlineSymbols="0" defaultGridColor="0" view="pageBreakPreview" colorId="23" zoomScale="60" zoomScaleNormal="75" workbookViewId="0">
      <selection activeCell="B6" sqref="B6"/>
    </sheetView>
  </sheetViews>
  <sheetFormatPr defaultColWidth="9.6640625" defaultRowHeight="15"/>
  <cols>
    <col min="1" max="1" width="9.6640625" style="10" customWidth="1"/>
    <col min="2" max="2" width="27.44140625" style="10" bestFit="1" customWidth="1"/>
    <col min="3" max="3" width="24.44140625" style="10" bestFit="1" customWidth="1"/>
    <col min="4" max="5" width="12.77734375" style="23" customWidth="1"/>
    <col min="6" max="6" width="12.6640625" style="10" customWidth="1"/>
    <col min="7" max="8" width="11.6640625" style="10" customWidth="1"/>
    <col min="9" max="9" width="9.6640625" style="10" customWidth="1"/>
    <col min="10" max="10" width="14.44140625" style="23" customWidth="1"/>
    <col min="11" max="16384" width="9.6640625" style="10"/>
  </cols>
  <sheetData>
    <row r="1" spans="1:12">
      <c r="A1" s="8"/>
      <c r="B1" s="8"/>
      <c r="C1" s="8"/>
      <c r="D1" s="20"/>
      <c r="E1" s="20"/>
      <c r="F1" s="8"/>
      <c r="G1" s="8"/>
      <c r="H1" s="8"/>
      <c r="I1" s="9"/>
      <c r="J1" s="20"/>
      <c r="K1" s="8"/>
      <c r="L1" s="8"/>
    </row>
    <row r="2" spans="1:12">
      <c r="A2" s="8"/>
      <c r="B2" s="8"/>
      <c r="C2" s="8"/>
      <c r="D2" s="20"/>
      <c r="E2" s="20"/>
      <c r="F2" s="8"/>
      <c r="G2" s="8"/>
      <c r="H2" s="8"/>
      <c r="I2" s="8"/>
      <c r="J2" s="20"/>
      <c r="K2" s="8"/>
      <c r="L2" s="8"/>
    </row>
    <row r="3" spans="1:12">
      <c r="A3" s="8"/>
      <c r="B3" s="8"/>
      <c r="C3" s="8"/>
      <c r="D3" s="20"/>
      <c r="E3" s="20"/>
      <c r="F3" s="8"/>
      <c r="G3" s="8"/>
      <c r="H3" s="8"/>
      <c r="I3" s="8"/>
      <c r="J3" s="20"/>
      <c r="K3" s="8"/>
      <c r="L3" s="8"/>
    </row>
    <row r="4" spans="1:12" ht="15.75">
      <c r="A4" s="8"/>
      <c r="B4" s="11" t="s">
        <v>1</v>
      </c>
      <c r="C4" s="9"/>
      <c r="D4" s="21"/>
      <c r="E4" s="21"/>
      <c r="F4" s="9"/>
      <c r="G4" s="9"/>
      <c r="H4" s="9"/>
      <c r="I4" s="9"/>
      <c r="J4" s="21"/>
      <c r="K4" s="8"/>
      <c r="L4" s="8"/>
    </row>
    <row r="5" spans="1:12" ht="15.75">
      <c r="A5" s="8"/>
      <c r="B5" s="11" t="s">
        <v>110</v>
      </c>
      <c r="C5" s="9"/>
      <c r="D5" s="21"/>
      <c r="E5" s="21"/>
      <c r="F5" s="9"/>
      <c r="G5" s="9"/>
      <c r="H5" s="9"/>
      <c r="I5" s="9"/>
      <c r="J5" s="21"/>
      <c r="K5" s="8"/>
      <c r="L5" s="8"/>
    </row>
    <row r="6" spans="1:12">
      <c r="A6" s="8"/>
      <c r="B6" s="8"/>
      <c r="C6" s="8"/>
      <c r="D6" s="20"/>
      <c r="E6" s="20"/>
      <c r="F6" s="8"/>
      <c r="G6" s="8"/>
      <c r="H6" s="8"/>
      <c r="I6" s="8"/>
      <c r="J6" s="20"/>
      <c r="K6" s="8"/>
      <c r="L6" s="8"/>
    </row>
    <row r="7" spans="1:12">
      <c r="A7" s="8"/>
      <c r="B7" s="12" t="s">
        <v>3</v>
      </c>
      <c r="C7" s="12" t="s">
        <v>4</v>
      </c>
      <c r="D7" s="37">
        <v>2010</v>
      </c>
      <c r="E7" s="37">
        <v>2009</v>
      </c>
      <c r="F7" s="13">
        <v>2008</v>
      </c>
      <c r="G7" s="13">
        <v>2007</v>
      </c>
      <c r="H7" s="13">
        <v>2006</v>
      </c>
      <c r="I7" s="14">
        <v>2005</v>
      </c>
      <c r="J7" s="22" t="s">
        <v>10</v>
      </c>
      <c r="K7" s="8"/>
      <c r="L7" s="8"/>
    </row>
    <row r="8" spans="1:12">
      <c r="A8" s="8"/>
      <c r="B8" s="8"/>
      <c r="C8" s="8"/>
      <c r="D8" s="20"/>
      <c r="E8" s="20"/>
      <c r="F8" s="8"/>
      <c r="G8" s="8"/>
      <c r="H8" s="8"/>
      <c r="I8" s="8"/>
      <c r="J8" s="20"/>
      <c r="K8" s="8"/>
      <c r="L8" s="8"/>
    </row>
    <row r="9" spans="1:12">
      <c r="A9" s="8">
        <v>21</v>
      </c>
      <c r="B9" s="8" t="s">
        <v>11</v>
      </c>
      <c r="C9" s="8" t="s">
        <v>12</v>
      </c>
      <c r="D9" s="20">
        <v>11769.54</v>
      </c>
      <c r="E9" s="20">
        <v>113.43</v>
      </c>
      <c r="F9" s="15">
        <v>110.43</v>
      </c>
      <c r="G9" s="15">
        <v>0</v>
      </c>
      <c r="H9" s="15">
        <v>0</v>
      </c>
      <c r="I9" s="15">
        <v>0</v>
      </c>
      <c r="J9" s="20">
        <f>SUM(D9:I9)</f>
        <v>11993.400000000001</v>
      </c>
      <c r="K9" s="8"/>
      <c r="L9" s="8"/>
    </row>
    <row r="10" spans="1:12" ht="15.75" thickBot="1">
      <c r="A10" s="8"/>
      <c r="B10" s="8"/>
      <c r="C10" s="8" t="s">
        <v>13</v>
      </c>
      <c r="D10" s="29">
        <v>212.72</v>
      </c>
      <c r="E10" s="29">
        <v>2.02</v>
      </c>
      <c r="F10" s="28">
        <v>2.14</v>
      </c>
      <c r="G10" s="28">
        <v>0</v>
      </c>
      <c r="H10" s="28">
        <v>0</v>
      </c>
      <c r="I10" s="28">
        <v>0</v>
      </c>
      <c r="J10" s="29">
        <f>SUM(D10:I10)</f>
        <v>216.88</v>
      </c>
      <c r="K10" s="8"/>
      <c r="L10" s="8"/>
    </row>
    <row r="11" spans="1:12">
      <c r="A11" s="8"/>
      <c r="B11" s="8"/>
      <c r="C11" s="8"/>
      <c r="D11" s="20"/>
      <c r="E11" s="20"/>
      <c r="F11" s="15"/>
      <c r="G11" s="15"/>
      <c r="H11" s="15"/>
      <c r="I11" s="15"/>
      <c r="J11" s="20"/>
      <c r="K11" s="8"/>
      <c r="L11" s="8"/>
    </row>
    <row r="12" spans="1:12" ht="15.75" thickBot="1">
      <c r="A12" s="8"/>
      <c r="B12" s="8"/>
      <c r="C12" s="8" t="s">
        <v>10</v>
      </c>
      <c r="D12" s="31">
        <f t="shared" ref="D12:I12" si="0">SUM(D9:D10)</f>
        <v>11982.26</v>
      </c>
      <c r="E12" s="31">
        <f t="shared" si="0"/>
        <v>115.45</v>
      </c>
      <c r="F12" s="30">
        <f t="shared" si="0"/>
        <v>112.57000000000001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>SUM(D12:I12)</f>
        <v>12210.28</v>
      </c>
      <c r="K12" s="8"/>
      <c r="L12" s="8"/>
    </row>
    <row r="13" spans="1:12" ht="15.75" thickTop="1">
      <c r="A13" s="8"/>
      <c r="B13" s="8"/>
      <c r="C13" s="8"/>
      <c r="D13" s="20"/>
      <c r="E13" s="20"/>
      <c r="F13" s="15"/>
      <c r="G13" s="8"/>
      <c r="H13" s="8"/>
      <c r="I13" s="8"/>
      <c r="J13" s="20"/>
      <c r="K13" s="8"/>
      <c r="L13" s="8"/>
    </row>
    <row r="14" spans="1:12">
      <c r="A14" s="8"/>
      <c r="B14" s="8"/>
      <c r="C14" s="8"/>
      <c r="D14" s="20"/>
      <c r="E14" s="20"/>
      <c r="F14" s="15"/>
      <c r="G14" s="8"/>
      <c r="H14" s="8"/>
      <c r="I14" s="8"/>
      <c r="J14" s="20"/>
      <c r="K14" s="8"/>
      <c r="L14" s="8"/>
    </row>
    <row r="15" spans="1:12">
      <c r="A15" s="8">
        <v>22</v>
      </c>
      <c r="B15" s="8" t="s">
        <v>15</v>
      </c>
      <c r="C15" s="8" t="s">
        <v>12</v>
      </c>
      <c r="D15" s="20">
        <v>12783.57</v>
      </c>
      <c r="E15" s="20">
        <v>281.08</v>
      </c>
      <c r="F15" s="15">
        <v>249.86</v>
      </c>
      <c r="G15" s="15">
        <v>0</v>
      </c>
      <c r="H15" s="15">
        <v>0</v>
      </c>
      <c r="I15" s="15">
        <v>0</v>
      </c>
      <c r="J15" s="20">
        <f>SUM(D15:I15)</f>
        <v>13314.51</v>
      </c>
      <c r="K15" s="8"/>
      <c r="L15" s="8"/>
    </row>
    <row r="16" spans="1:12" ht="15.75" thickBot="1">
      <c r="A16" s="8"/>
      <c r="B16" s="8"/>
      <c r="C16" s="8" t="s">
        <v>13</v>
      </c>
      <c r="D16" s="29">
        <v>283.12</v>
      </c>
      <c r="E16" s="29">
        <v>6.1</v>
      </c>
      <c r="F16" s="28">
        <v>10.35</v>
      </c>
      <c r="G16" s="28">
        <v>0</v>
      </c>
      <c r="H16" s="28">
        <v>0</v>
      </c>
      <c r="I16" s="28">
        <v>0</v>
      </c>
      <c r="J16" s="29">
        <f>SUM(D16:I16)</f>
        <v>299.57000000000005</v>
      </c>
      <c r="K16" s="8"/>
      <c r="L16" s="8"/>
    </row>
    <row r="17" spans="1:12">
      <c r="A17" s="8"/>
      <c r="B17" s="8"/>
      <c r="C17" s="8"/>
      <c r="D17" s="20"/>
      <c r="E17" s="20"/>
      <c r="F17" s="15"/>
      <c r="G17" s="15"/>
      <c r="H17" s="15"/>
      <c r="I17" s="15"/>
      <c r="J17" s="20"/>
      <c r="K17" s="8"/>
      <c r="L17" s="8"/>
    </row>
    <row r="18" spans="1:12" ht="15.75" thickBot="1">
      <c r="A18" s="8"/>
      <c r="B18" s="8"/>
      <c r="C18" s="8" t="s">
        <v>10</v>
      </c>
      <c r="D18" s="31">
        <f t="shared" ref="D18:I18" si="1">SUM(D15:D16)</f>
        <v>13066.69</v>
      </c>
      <c r="E18" s="31">
        <f t="shared" si="1"/>
        <v>287.18</v>
      </c>
      <c r="F18" s="30">
        <f t="shared" si="1"/>
        <v>260.21000000000004</v>
      </c>
      <c r="G18" s="30">
        <f t="shared" si="1"/>
        <v>0</v>
      </c>
      <c r="H18" s="30">
        <f t="shared" si="1"/>
        <v>0</v>
      </c>
      <c r="I18" s="30">
        <f t="shared" si="1"/>
        <v>0</v>
      </c>
      <c r="J18" s="31">
        <f>SUM(D18:I18)</f>
        <v>13614.080000000002</v>
      </c>
      <c r="K18" s="8"/>
      <c r="L18" s="8"/>
    </row>
    <row r="19" spans="1:12" ht="15.75" thickTop="1">
      <c r="A19" s="8"/>
      <c r="B19" s="8"/>
      <c r="C19" s="8"/>
      <c r="D19" s="20"/>
      <c r="E19" s="20"/>
      <c r="F19" s="15"/>
      <c r="G19" s="15"/>
      <c r="H19" s="15"/>
      <c r="I19" s="15"/>
      <c r="J19" s="20"/>
      <c r="K19" s="8"/>
      <c r="L19" s="8"/>
    </row>
    <row r="20" spans="1:12">
      <c r="A20" s="8"/>
      <c r="B20" s="8"/>
      <c r="C20" s="8"/>
      <c r="D20" s="20"/>
      <c r="E20" s="20"/>
      <c r="F20" s="15"/>
      <c r="G20" s="15"/>
      <c r="H20" s="15"/>
      <c r="I20" s="15"/>
      <c r="J20" s="20"/>
      <c r="K20" s="8"/>
      <c r="L20" s="8"/>
    </row>
    <row r="21" spans="1:12">
      <c r="A21" s="8">
        <v>23</v>
      </c>
      <c r="B21" s="8" t="s">
        <v>16</v>
      </c>
      <c r="C21" s="8" t="s">
        <v>12</v>
      </c>
      <c r="D21" s="25">
        <v>12351.07</v>
      </c>
      <c r="E21" s="25">
        <v>597.55999999999995</v>
      </c>
      <c r="F21" s="24">
        <v>547.02</v>
      </c>
      <c r="G21" s="24">
        <v>0</v>
      </c>
      <c r="H21" s="24">
        <v>0</v>
      </c>
      <c r="I21" s="24">
        <v>0</v>
      </c>
      <c r="J21" s="25">
        <f>SUM(D21:I21)</f>
        <v>13495.65</v>
      </c>
      <c r="K21" s="8"/>
      <c r="L21" s="8"/>
    </row>
    <row r="22" spans="1:12" ht="15.75" hidden="1" thickBot="1">
      <c r="A22" s="8"/>
      <c r="B22" s="8"/>
      <c r="C22" s="8" t="s">
        <v>13</v>
      </c>
      <c r="D22" s="29"/>
      <c r="E22" s="29"/>
      <c r="F22" s="28"/>
      <c r="G22" s="28"/>
      <c r="H22" s="28"/>
      <c r="I22" s="28"/>
      <c r="J22" s="29">
        <f>SUM(D22:I22)</f>
        <v>0</v>
      </c>
      <c r="K22" s="8"/>
      <c r="L22" s="8"/>
    </row>
    <row r="23" spans="1:12">
      <c r="A23" s="8"/>
      <c r="B23" s="8"/>
      <c r="C23" s="8"/>
      <c r="D23" s="20"/>
      <c r="E23" s="20"/>
      <c r="F23" s="15"/>
      <c r="G23" s="15"/>
      <c r="H23" s="15"/>
      <c r="I23" s="15"/>
      <c r="J23" s="20"/>
      <c r="K23" s="8"/>
      <c r="L23" s="8"/>
    </row>
    <row r="24" spans="1:12" ht="15.75" thickBot="1">
      <c r="A24" s="8"/>
      <c r="B24" s="8"/>
      <c r="C24" s="8" t="s">
        <v>10</v>
      </c>
      <c r="D24" s="31">
        <f t="shared" ref="D24:I24" si="2">SUM(D21:D22)</f>
        <v>12351.07</v>
      </c>
      <c r="E24" s="31">
        <f t="shared" si="2"/>
        <v>597.55999999999995</v>
      </c>
      <c r="F24" s="30">
        <f t="shared" si="2"/>
        <v>547.02</v>
      </c>
      <c r="G24" s="30">
        <f t="shared" si="2"/>
        <v>0</v>
      </c>
      <c r="H24" s="30">
        <f t="shared" si="2"/>
        <v>0</v>
      </c>
      <c r="I24" s="30">
        <f t="shared" si="2"/>
        <v>0</v>
      </c>
      <c r="J24" s="31">
        <f>SUM(D24:I24)</f>
        <v>13495.65</v>
      </c>
      <c r="K24" s="8"/>
      <c r="L24" s="8"/>
    </row>
    <row r="25" spans="1:12" ht="15.75" thickTop="1">
      <c r="A25" s="8"/>
      <c r="B25" s="8"/>
      <c r="C25" s="8"/>
      <c r="D25" s="20"/>
      <c r="E25" s="20"/>
      <c r="F25" s="15"/>
      <c r="G25" s="15"/>
      <c r="H25" s="15"/>
      <c r="I25" s="15"/>
      <c r="J25" s="20"/>
      <c r="K25" s="8"/>
      <c r="L25" s="8"/>
    </row>
    <row r="26" spans="1:12">
      <c r="A26" s="8"/>
      <c r="B26" s="8"/>
      <c r="C26" s="8"/>
      <c r="D26" s="20"/>
      <c r="E26" s="20"/>
      <c r="F26" s="15"/>
      <c r="G26" s="8"/>
      <c r="H26" s="8"/>
      <c r="I26" s="8"/>
      <c r="J26" s="20"/>
      <c r="K26" s="8"/>
      <c r="L26" s="8"/>
    </row>
    <row r="27" spans="1:12">
      <c r="A27" s="8"/>
      <c r="B27" s="8"/>
      <c r="C27" s="8"/>
      <c r="D27" s="20"/>
      <c r="E27" s="20"/>
      <c r="F27" s="15"/>
      <c r="G27" s="15"/>
      <c r="H27" s="15"/>
      <c r="I27" s="15"/>
      <c r="J27" s="20"/>
      <c r="K27" s="8"/>
      <c r="L27" s="8"/>
    </row>
    <row r="28" spans="1:12" ht="15.75" thickBot="1">
      <c r="A28" s="8">
        <v>24</v>
      </c>
      <c r="B28" s="8" t="s">
        <v>17</v>
      </c>
      <c r="C28" s="8" t="s">
        <v>12</v>
      </c>
      <c r="D28" s="29">
        <v>7143.8</v>
      </c>
      <c r="E28" s="29">
        <v>18.54</v>
      </c>
      <c r="F28" s="28">
        <v>0</v>
      </c>
      <c r="G28" s="28">
        <v>0</v>
      </c>
      <c r="H28" s="28">
        <v>0</v>
      </c>
      <c r="I28" s="28">
        <v>0</v>
      </c>
      <c r="J28" s="29">
        <f>SUM(D28:I28)</f>
        <v>7162.34</v>
      </c>
      <c r="K28" s="8"/>
      <c r="L28" s="8"/>
    </row>
    <row r="29" spans="1:12">
      <c r="A29" s="8"/>
      <c r="B29" s="8"/>
      <c r="C29" s="8"/>
      <c r="D29" s="20"/>
      <c r="E29" s="20"/>
      <c r="F29" s="15"/>
      <c r="G29" s="15"/>
      <c r="H29" s="15"/>
      <c r="I29" s="15"/>
      <c r="J29" s="20"/>
      <c r="K29" s="8"/>
      <c r="L29" s="8"/>
    </row>
    <row r="30" spans="1:12" ht="15.75" thickBot="1">
      <c r="A30" s="8"/>
      <c r="B30" s="8"/>
      <c r="C30" s="8" t="s">
        <v>10</v>
      </c>
      <c r="D30" s="31">
        <f t="shared" ref="D30:I30" si="3">SUM(D28:D29)</f>
        <v>7143.8</v>
      </c>
      <c r="E30" s="31">
        <f t="shared" si="3"/>
        <v>18.54</v>
      </c>
      <c r="F30" s="30">
        <f t="shared" si="3"/>
        <v>0</v>
      </c>
      <c r="G30" s="30">
        <f t="shared" si="3"/>
        <v>0</v>
      </c>
      <c r="H30" s="30">
        <f t="shared" si="3"/>
        <v>0</v>
      </c>
      <c r="I30" s="30">
        <f t="shared" si="3"/>
        <v>0</v>
      </c>
      <c r="J30" s="31">
        <f>SUM(D30:I30)</f>
        <v>7162.34</v>
      </c>
      <c r="K30" s="8"/>
      <c r="L30" s="8"/>
    </row>
    <row r="31" spans="1:12" ht="15.75" thickTop="1">
      <c r="A31" s="8"/>
      <c r="B31" s="8"/>
      <c r="C31" s="8"/>
      <c r="D31" s="20"/>
      <c r="E31" s="20"/>
      <c r="F31" s="15"/>
      <c r="G31" s="15"/>
      <c r="H31" s="15"/>
      <c r="I31" s="15"/>
      <c r="J31" s="20"/>
      <c r="K31" s="8"/>
      <c r="L31" s="8"/>
    </row>
    <row r="32" spans="1:12">
      <c r="A32" s="8"/>
      <c r="B32" s="8"/>
      <c r="C32" s="8"/>
      <c r="D32" s="20"/>
      <c r="E32" s="20"/>
      <c r="F32" s="15"/>
      <c r="G32" s="8"/>
      <c r="H32" s="8"/>
      <c r="I32" s="8"/>
      <c r="J32" s="20"/>
      <c r="K32" s="8"/>
      <c r="L32" s="8"/>
    </row>
    <row r="33" spans="1:12">
      <c r="A33" s="8"/>
      <c r="B33" s="8"/>
      <c r="C33" s="8"/>
      <c r="D33" s="20"/>
      <c r="E33" s="20"/>
      <c r="F33" s="15"/>
      <c r="G33" s="15"/>
      <c r="H33" s="15"/>
      <c r="I33" s="15"/>
      <c r="J33" s="20"/>
      <c r="K33" s="8"/>
      <c r="L33" s="8"/>
    </row>
    <row r="34" spans="1:12" ht="15.75" thickBot="1">
      <c r="A34" s="8">
        <v>25</v>
      </c>
      <c r="B34" s="8" t="s">
        <v>18</v>
      </c>
      <c r="C34" s="8" t="s">
        <v>12</v>
      </c>
      <c r="D34" s="29">
        <v>1654.48</v>
      </c>
      <c r="E34" s="29">
        <v>222.3</v>
      </c>
      <c r="F34" s="28">
        <v>0</v>
      </c>
      <c r="G34" s="28">
        <v>0</v>
      </c>
      <c r="H34" s="28">
        <v>0</v>
      </c>
      <c r="I34" s="28">
        <v>0</v>
      </c>
      <c r="J34" s="29">
        <f>SUM(D34:I34)</f>
        <v>1876.78</v>
      </c>
      <c r="K34" s="8"/>
      <c r="L34" s="8"/>
    </row>
    <row r="35" spans="1:12">
      <c r="A35" s="8"/>
      <c r="B35" s="8"/>
      <c r="C35" s="8"/>
      <c r="D35" s="20"/>
      <c r="E35" s="20"/>
      <c r="F35" s="15"/>
      <c r="G35" s="15"/>
      <c r="H35" s="15"/>
      <c r="I35" s="15"/>
      <c r="J35" s="20"/>
      <c r="K35" s="8"/>
      <c r="L35" s="8"/>
    </row>
    <row r="36" spans="1:12" ht="15.75" thickBot="1">
      <c r="A36" s="8"/>
      <c r="B36" s="8"/>
      <c r="C36" s="8" t="s">
        <v>10</v>
      </c>
      <c r="D36" s="31">
        <f t="shared" ref="D36:I36" si="4">SUM(D34:D35)</f>
        <v>1654.48</v>
      </c>
      <c r="E36" s="31">
        <f t="shared" si="4"/>
        <v>222.3</v>
      </c>
      <c r="F36" s="30">
        <f t="shared" si="4"/>
        <v>0</v>
      </c>
      <c r="G36" s="30">
        <f t="shared" si="4"/>
        <v>0</v>
      </c>
      <c r="H36" s="30">
        <f t="shared" si="4"/>
        <v>0</v>
      </c>
      <c r="I36" s="30">
        <f t="shared" si="4"/>
        <v>0</v>
      </c>
      <c r="J36" s="31">
        <f>SUM(D36:I36)</f>
        <v>1876.78</v>
      </c>
      <c r="K36" s="8"/>
      <c r="L36" s="8"/>
    </row>
    <row r="37" spans="1:12" ht="15.75" thickTop="1">
      <c r="A37" s="8"/>
      <c r="B37" s="8"/>
      <c r="C37" s="8"/>
      <c r="D37" s="20"/>
      <c r="E37" s="20"/>
      <c r="F37" s="15"/>
      <c r="G37" s="8"/>
      <c r="H37" s="8"/>
      <c r="I37" s="8"/>
      <c r="J37" s="20"/>
      <c r="K37" s="8"/>
      <c r="L37" s="8"/>
    </row>
    <row r="38" spans="1:12">
      <c r="A38" s="8"/>
      <c r="B38" s="8"/>
      <c r="C38" s="8"/>
      <c r="D38" s="20"/>
      <c r="E38" s="20"/>
      <c r="F38" s="15"/>
      <c r="G38" s="15"/>
      <c r="H38" s="15"/>
      <c r="I38" s="15"/>
      <c r="J38" s="20"/>
      <c r="K38" s="8"/>
      <c r="L38" s="8"/>
    </row>
    <row r="39" spans="1:12">
      <c r="A39" s="8"/>
      <c r="B39" s="8"/>
      <c r="C39" s="8"/>
      <c r="D39" s="20"/>
      <c r="E39" s="20"/>
      <c r="F39" s="15"/>
      <c r="G39" s="15"/>
      <c r="H39" s="15"/>
      <c r="I39" s="15"/>
      <c r="J39" s="20"/>
      <c r="K39" s="8"/>
      <c r="L39" s="8"/>
    </row>
    <row r="40" spans="1:12">
      <c r="A40" s="8">
        <v>26</v>
      </c>
      <c r="B40" s="8" t="s">
        <v>19</v>
      </c>
      <c r="C40" s="8" t="s">
        <v>12</v>
      </c>
      <c r="D40" s="20">
        <v>9355.52</v>
      </c>
      <c r="E40" s="20">
        <v>113.92</v>
      </c>
      <c r="F40" s="15">
        <v>0</v>
      </c>
      <c r="G40" s="15">
        <v>0</v>
      </c>
      <c r="H40" s="15">
        <v>0</v>
      </c>
      <c r="I40" s="15">
        <v>0</v>
      </c>
      <c r="J40" s="20">
        <f>SUM(D40:I40)</f>
        <v>9469.44</v>
      </c>
      <c r="K40" s="8"/>
      <c r="L40" s="8"/>
    </row>
    <row r="41" spans="1:12" ht="15.75" thickBot="1">
      <c r="A41" s="8"/>
      <c r="B41" s="8"/>
      <c r="C41" s="8" t="s">
        <v>13</v>
      </c>
      <c r="D41" s="29">
        <v>138.43</v>
      </c>
      <c r="E41" s="29">
        <v>1.62</v>
      </c>
      <c r="F41" s="28">
        <v>0</v>
      </c>
      <c r="G41" s="28">
        <v>0</v>
      </c>
      <c r="H41" s="28">
        <v>0</v>
      </c>
      <c r="I41" s="28">
        <v>0</v>
      </c>
      <c r="J41" s="29">
        <f>SUM(D41:I41)</f>
        <v>140.05000000000001</v>
      </c>
      <c r="K41" s="8"/>
      <c r="L41" s="8"/>
    </row>
    <row r="42" spans="1:12">
      <c r="A42" s="8"/>
      <c r="B42" s="8"/>
      <c r="C42" s="8"/>
      <c r="D42" s="20"/>
      <c r="E42" s="20"/>
      <c r="F42" s="15"/>
      <c r="G42" s="15"/>
      <c r="H42" s="15"/>
      <c r="I42" s="15"/>
      <c r="J42" s="20"/>
      <c r="K42" s="8"/>
      <c r="L42" s="8"/>
    </row>
    <row r="43" spans="1:12" ht="15.75" thickBot="1">
      <c r="A43" s="8"/>
      <c r="B43" s="8"/>
      <c r="C43" s="8" t="s">
        <v>10</v>
      </c>
      <c r="D43" s="31">
        <f t="shared" ref="D43:I43" si="5">SUM(D40:D41)</f>
        <v>9493.9500000000007</v>
      </c>
      <c r="E43" s="31">
        <f t="shared" si="5"/>
        <v>115.54</v>
      </c>
      <c r="F43" s="30">
        <f t="shared" si="5"/>
        <v>0</v>
      </c>
      <c r="G43" s="30">
        <f t="shared" si="5"/>
        <v>0</v>
      </c>
      <c r="H43" s="30">
        <f t="shared" si="5"/>
        <v>0</v>
      </c>
      <c r="I43" s="30">
        <f t="shared" si="5"/>
        <v>0</v>
      </c>
      <c r="J43" s="31">
        <f>SUM(D43:I43)</f>
        <v>9609.4900000000016</v>
      </c>
      <c r="K43" s="8"/>
      <c r="L43" s="8"/>
    </row>
    <row r="44" spans="1:12" ht="15.75" thickTop="1">
      <c r="A44" s="8"/>
      <c r="B44" s="8"/>
      <c r="C44" s="8"/>
      <c r="D44" s="20"/>
      <c r="E44" s="20"/>
      <c r="F44" s="15"/>
      <c r="G44" s="15"/>
      <c r="H44" s="15"/>
      <c r="I44" s="15"/>
      <c r="J44" s="20"/>
      <c r="K44" s="8"/>
      <c r="L44" s="8"/>
    </row>
    <row r="45" spans="1:12">
      <c r="A45" s="8"/>
      <c r="B45" s="8"/>
      <c r="C45" s="8"/>
      <c r="D45" s="20"/>
      <c r="E45" s="20"/>
      <c r="F45" s="15"/>
      <c r="G45" s="15"/>
      <c r="H45" s="15"/>
      <c r="I45" s="15"/>
      <c r="J45" s="20"/>
      <c r="K45" s="8"/>
      <c r="L45" s="8"/>
    </row>
    <row r="46" spans="1:12" ht="15.75" thickBot="1">
      <c r="A46" s="8">
        <v>27</v>
      </c>
      <c r="B46" s="8" t="s">
        <v>20</v>
      </c>
      <c r="C46" s="8" t="s">
        <v>12</v>
      </c>
      <c r="D46" s="29">
        <v>15473.43</v>
      </c>
      <c r="E46" s="29">
        <v>86.65</v>
      </c>
      <c r="F46" s="28">
        <v>45.54</v>
      </c>
      <c r="G46" s="28">
        <v>0</v>
      </c>
      <c r="H46" s="28">
        <v>0</v>
      </c>
      <c r="I46" s="28">
        <v>0</v>
      </c>
      <c r="J46" s="29">
        <f>SUM(D46:I46)</f>
        <v>15605.62</v>
      </c>
      <c r="K46" s="8"/>
      <c r="L46" s="8"/>
    </row>
    <row r="47" spans="1:12">
      <c r="A47" s="8"/>
      <c r="B47" s="8"/>
      <c r="C47" s="8"/>
      <c r="D47" s="20"/>
      <c r="E47" s="20"/>
      <c r="F47" s="15"/>
      <c r="G47" s="15"/>
      <c r="H47" s="15"/>
      <c r="I47" s="15"/>
      <c r="J47" s="20"/>
      <c r="K47" s="8"/>
      <c r="L47" s="8"/>
    </row>
    <row r="48" spans="1:12" ht="15.75" thickBot="1">
      <c r="A48" s="8"/>
      <c r="B48" s="8"/>
      <c r="C48" s="8" t="s">
        <v>10</v>
      </c>
      <c r="D48" s="31">
        <f t="shared" ref="D48:I48" si="6">SUM(D46:D47)</f>
        <v>15473.43</v>
      </c>
      <c r="E48" s="31">
        <f t="shared" si="6"/>
        <v>86.65</v>
      </c>
      <c r="F48" s="30">
        <f t="shared" si="6"/>
        <v>45.54</v>
      </c>
      <c r="G48" s="30">
        <f t="shared" si="6"/>
        <v>0</v>
      </c>
      <c r="H48" s="30">
        <f t="shared" si="6"/>
        <v>0</v>
      </c>
      <c r="I48" s="30">
        <f t="shared" si="6"/>
        <v>0</v>
      </c>
      <c r="J48" s="31">
        <f>SUM(D48:I48)</f>
        <v>15605.62</v>
      </c>
      <c r="K48" s="8"/>
      <c r="L48" s="8"/>
    </row>
    <row r="49" spans="1:12" ht="15.75" thickTop="1">
      <c r="A49" s="8"/>
      <c r="B49" s="8"/>
      <c r="C49" s="8"/>
      <c r="D49" s="20"/>
      <c r="E49" s="20"/>
      <c r="F49" s="15"/>
      <c r="G49" s="8"/>
      <c r="H49" s="8"/>
      <c r="I49" s="8"/>
      <c r="J49" s="20"/>
      <c r="K49" s="8"/>
      <c r="L49" s="8"/>
    </row>
    <row r="50" spans="1:12">
      <c r="A50" s="8"/>
      <c r="B50" s="8"/>
      <c r="C50" s="8"/>
      <c r="D50" s="20"/>
      <c r="E50" s="20"/>
      <c r="F50" s="15"/>
      <c r="G50" s="8"/>
      <c r="H50" s="8"/>
      <c r="I50" s="8"/>
      <c r="J50" s="20"/>
      <c r="K50" s="8"/>
      <c r="L50" s="8"/>
    </row>
    <row r="51" spans="1:12">
      <c r="A51" s="8"/>
      <c r="B51" s="8"/>
      <c r="C51" s="8"/>
      <c r="D51" s="20"/>
      <c r="E51" s="20"/>
      <c r="F51" s="15"/>
      <c r="G51" s="15"/>
      <c r="H51" s="15"/>
      <c r="I51" s="15"/>
      <c r="J51" s="20"/>
      <c r="K51" s="8"/>
      <c r="L51" s="8"/>
    </row>
    <row r="52" spans="1:12">
      <c r="A52" s="8"/>
      <c r="B52" s="8"/>
      <c r="C52" s="8"/>
      <c r="D52" s="20"/>
      <c r="E52" s="20"/>
      <c r="F52" s="15"/>
      <c r="G52" s="15"/>
      <c r="H52" s="15"/>
      <c r="I52" s="15"/>
      <c r="J52" s="20"/>
      <c r="K52" s="8"/>
      <c r="L52" s="8"/>
    </row>
    <row r="53" spans="1:12">
      <c r="A53" s="8">
        <v>28</v>
      </c>
      <c r="B53" s="8" t="s">
        <v>21</v>
      </c>
      <c r="C53" s="8" t="s">
        <v>12</v>
      </c>
      <c r="D53" s="25">
        <v>8552.9599999999991</v>
      </c>
      <c r="E53" s="25">
        <v>106.62</v>
      </c>
      <c r="F53" s="24">
        <v>8.4700000000000006</v>
      </c>
      <c r="G53" s="24">
        <v>0</v>
      </c>
      <c r="H53" s="24">
        <v>0</v>
      </c>
      <c r="I53" s="24">
        <v>0</v>
      </c>
      <c r="J53" s="25">
        <f>SUM(D53:I53)</f>
        <v>8668.0499999999993</v>
      </c>
      <c r="K53" s="8"/>
      <c r="L53" s="8"/>
    </row>
    <row r="54" spans="1:12" ht="15.75" hidden="1" thickBot="1">
      <c r="A54" s="8"/>
      <c r="B54" s="8"/>
      <c r="C54" s="8" t="s">
        <v>13</v>
      </c>
      <c r="D54" s="29"/>
      <c r="E54" s="29"/>
      <c r="F54" s="28"/>
      <c r="G54" s="28"/>
      <c r="H54" s="28"/>
      <c r="I54" s="28"/>
      <c r="J54" s="29">
        <f>SUM(D54:I54)</f>
        <v>0</v>
      </c>
      <c r="K54" s="8"/>
      <c r="L54" s="8"/>
    </row>
    <row r="55" spans="1:12">
      <c r="A55" s="8"/>
      <c r="B55" s="8"/>
      <c r="C55" s="8"/>
      <c r="D55" s="20"/>
      <c r="E55" s="20"/>
      <c r="F55" s="15"/>
      <c r="G55" s="15"/>
      <c r="H55" s="15"/>
      <c r="I55" s="15"/>
      <c r="J55" s="20"/>
      <c r="K55" s="8"/>
      <c r="L55" s="8"/>
    </row>
    <row r="56" spans="1:12" ht="15.75" thickBot="1">
      <c r="A56" s="8"/>
      <c r="B56" s="8"/>
      <c r="C56" s="8" t="s">
        <v>10</v>
      </c>
      <c r="D56" s="31">
        <f t="shared" ref="D56:I56" si="7">SUM(D53:D54)</f>
        <v>8552.9599999999991</v>
      </c>
      <c r="E56" s="31">
        <f t="shared" si="7"/>
        <v>106.62</v>
      </c>
      <c r="F56" s="30">
        <f t="shared" si="7"/>
        <v>8.4700000000000006</v>
      </c>
      <c r="G56" s="30">
        <f t="shared" si="7"/>
        <v>0</v>
      </c>
      <c r="H56" s="30">
        <f t="shared" si="7"/>
        <v>0</v>
      </c>
      <c r="I56" s="30">
        <f t="shared" si="7"/>
        <v>0</v>
      </c>
      <c r="J56" s="31">
        <f>SUM(D56:I56)</f>
        <v>8668.0499999999993</v>
      </c>
      <c r="K56" s="8"/>
      <c r="L56" s="8"/>
    </row>
    <row r="57" spans="1:12" ht="15.75" thickTop="1">
      <c r="A57" s="8"/>
      <c r="B57" s="8"/>
      <c r="C57" s="8"/>
      <c r="D57" s="20"/>
      <c r="E57" s="20"/>
      <c r="F57" s="15"/>
      <c r="G57" s="15"/>
      <c r="H57" s="15"/>
      <c r="I57" s="15"/>
      <c r="J57" s="20"/>
      <c r="K57" s="8"/>
      <c r="L57" s="8"/>
    </row>
    <row r="58" spans="1:12">
      <c r="A58" s="8"/>
      <c r="B58" s="8"/>
      <c r="C58" s="8"/>
      <c r="D58" s="20"/>
      <c r="E58" s="20"/>
      <c r="F58" s="15"/>
      <c r="G58" s="15"/>
      <c r="H58" s="15"/>
      <c r="I58" s="15"/>
      <c r="J58" s="20"/>
      <c r="K58" s="8"/>
      <c r="L58" s="8"/>
    </row>
    <row r="59" spans="1:12">
      <c r="A59" s="8">
        <v>29</v>
      </c>
      <c r="B59" s="8" t="s">
        <v>22</v>
      </c>
      <c r="C59" s="8" t="s">
        <v>12</v>
      </c>
      <c r="D59" s="20">
        <v>18704.79</v>
      </c>
      <c r="E59" s="20">
        <v>124.9</v>
      </c>
      <c r="F59" s="15">
        <v>0</v>
      </c>
      <c r="G59" s="15">
        <v>0</v>
      </c>
      <c r="H59" s="15">
        <v>0</v>
      </c>
      <c r="I59" s="15">
        <v>0</v>
      </c>
      <c r="J59" s="20">
        <f>SUM(D59:I59)</f>
        <v>18829.690000000002</v>
      </c>
      <c r="K59" s="8"/>
      <c r="L59" s="8"/>
    </row>
    <row r="60" spans="1:12">
      <c r="A60" s="8"/>
      <c r="B60" s="8"/>
      <c r="C60" s="8" t="s">
        <v>35</v>
      </c>
      <c r="D60" s="20">
        <v>1039.21</v>
      </c>
      <c r="E60" s="20">
        <v>7.17</v>
      </c>
      <c r="F60" s="15">
        <v>0</v>
      </c>
      <c r="G60" s="15">
        <v>0</v>
      </c>
      <c r="H60" s="15">
        <v>0</v>
      </c>
      <c r="I60" s="15">
        <v>0</v>
      </c>
      <c r="J60" s="20">
        <f>SUM(D60:I60)</f>
        <v>1046.3800000000001</v>
      </c>
      <c r="K60" s="8"/>
      <c r="L60" s="8"/>
    </row>
    <row r="61" spans="1:12">
      <c r="A61" s="8"/>
      <c r="B61" s="8"/>
      <c r="C61" s="8" t="s">
        <v>13</v>
      </c>
      <c r="D61" s="20">
        <v>446.98</v>
      </c>
      <c r="E61" s="20">
        <v>2.61</v>
      </c>
      <c r="F61" s="15">
        <v>0</v>
      </c>
      <c r="G61" s="15">
        <v>0</v>
      </c>
      <c r="H61" s="15">
        <v>0</v>
      </c>
      <c r="I61" s="15">
        <v>0</v>
      </c>
      <c r="J61" s="20">
        <f>SUM(D61:I61)</f>
        <v>449.59000000000003</v>
      </c>
      <c r="K61" s="8"/>
      <c r="L61" s="8"/>
    </row>
    <row r="62" spans="1:12" ht="15.75" thickBot="1">
      <c r="A62" s="8"/>
      <c r="B62" s="8"/>
      <c r="C62" s="8" t="s">
        <v>78</v>
      </c>
      <c r="D62" s="29">
        <v>1828.72</v>
      </c>
      <c r="E62" s="29">
        <v>8.81</v>
      </c>
      <c r="F62" s="28">
        <v>0</v>
      </c>
      <c r="G62" s="28">
        <v>0</v>
      </c>
      <c r="H62" s="28">
        <v>0</v>
      </c>
      <c r="I62" s="28">
        <v>0</v>
      </c>
      <c r="J62" s="29">
        <f>SUM(D62:I62)</f>
        <v>1837.53</v>
      </c>
      <c r="K62" s="8"/>
      <c r="L62" s="8"/>
    </row>
    <row r="63" spans="1:12">
      <c r="A63" s="8"/>
      <c r="B63" s="8"/>
      <c r="C63" s="8"/>
      <c r="D63" s="20"/>
      <c r="E63" s="20"/>
      <c r="F63" s="15"/>
      <c r="G63" s="15"/>
      <c r="H63" s="15"/>
      <c r="I63" s="15"/>
      <c r="J63" s="20"/>
      <c r="K63" s="8"/>
      <c r="L63" s="8"/>
    </row>
    <row r="64" spans="1:12" ht="15.75" thickBot="1">
      <c r="A64" s="8"/>
      <c r="B64" s="8"/>
      <c r="C64" s="8" t="s">
        <v>10</v>
      </c>
      <c r="D64" s="31">
        <f t="shared" ref="D64:I64" si="8">SUM(D59:D62)</f>
        <v>22019.7</v>
      </c>
      <c r="E64" s="31">
        <f t="shared" si="8"/>
        <v>143.49</v>
      </c>
      <c r="F64" s="30">
        <f t="shared" si="8"/>
        <v>0</v>
      </c>
      <c r="G64" s="30">
        <f t="shared" si="8"/>
        <v>0</v>
      </c>
      <c r="H64" s="30">
        <f t="shared" si="8"/>
        <v>0</v>
      </c>
      <c r="I64" s="30">
        <f t="shared" si="8"/>
        <v>0</v>
      </c>
      <c r="J64" s="31">
        <f>SUM(D64:I64)</f>
        <v>22163.190000000002</v>
      </c>
      <c r="K64" s="8"/>
      <c r="L64" s="8"/>
    </row>
    <row r="65" spans="1:12" ht="15.75" thickTop="1">
      <c r="A65" s="8"/>
      <c r="B65" s="8"/>
      <c r="C65" s="8"/>
      <c r="D65" s="20"/>
      <c r="E65" s="20"/>
      <c r="F65" s="15"/>
      <c r="G65" s="15"/>
      <c r="H65" s="15"/>
      <c r="I65" s="15"/>
      <c r="J65" s="20"/>
      <c r="K65" s="8"/>
      <c r="L65" s="8"/>
    </row>
    <row r="66" spans="1:12">
      <c r="A66" s="8"/>
      <c r="B66" s="8"/>
      <c r="C66" s="8"/>
      <c r="D66" s="20"/>
      <c r="E66" s="20"/>
      <c r="F66" s="15"/>
      <c r="G66" s="15"/>
      <c r="H66" s="15"/>
      <c r="I66" s="15"/>
      <c r="J66" s="20"/>
      <c r="K66" s="8"/>
      <c r="L66" s="8"/>
    </row>
    <row r="67" spans="1:12">
      <c r="A67" s="8">
        <v>30</v>
      </c>
      <c r="B67" s="8" t="s">
        <v>23</v>
      </c>
      <c r="C67" s="8" t="s">
        <v>12</v>
      </c>
      <c r="D67" s="25">
        <v>5928.97</v>
      </c>
      <c r="E67" s="25">
        <v>42.44</v>
      </c>
      <c r="F67" s="24">
        <v>1.54</v>
      </c>
      <c r="G67" s="24">
        <v>0</v>
      </c>
      <c r="H67" s="24">
        <v>0</v>
      </c>
      <c r="I67" s="24">
        <v>0</v>
      </c>
      <c r="J67" s="25">
        <f>SUM(D67:I67)</f>
        <v>5972.95</v>
      </c>
      <c r="K67" s="8"/>
      <c r="L67" s="8"/>
    </row>
    <row r="68" spans="1:12" ht="15.75" hidden="1" thickBot="1">
      <c r="A68" s="8"/>
      <c r="B68" s="8"/>
      <c r="C68" s="8" t="s">
        <v>13</v>
      </c>
      <c r="D68" s="29"/>
      <c r="E68" s="29"/>
      <c r="F68" s="28"/>
      <c r="G68" s="28"/>
      <c r="H68" s="28"/>
      <c r="I68" s="28"/>
      <c r="J68" s="29"/>
      <c r="K68" s="8"/>
      <c r="L68" s="8"/>
    </row>
    <row r="69" spans="1:12">
      <c r="A69" s="8"/>
      <c r="B69" s="8"/>
      <c r="C69" s="8"/>
      <c r="D69" s="20"/>
      <c r="E69" s="20"/>
      <c r="F69" s="15"/>
      <c r="G69" s="15"/>
      <c r="H69" s="15"/>
      <c r="I69" s="15"/>
      <c r="J69" s="20"/>
      <c r="K69" s="8"/>
      <c r="L69" s="8"/>
    </row>
    <row r="70" spans="1:12" ht="15.75" thickBot="1">
      <c r="A70" s="8"/>
      <c r="B70" s="8"/>
      <c r="C70" s="15" t="s">
        <v>10</v>
      </c>
      <c r="D70" s="31">
        <f t="shared" ref="D70:I70" si="9">SUM(D67:D68)</f>
        <v>5928.97</v>
      </c>
      <c r="E70" s="31">
        <f t="shared" si="9"/>
        <v>42.44</v>
      </c>
      <c r="F70" s="30">
        <f t="shared" si="9"/>
        <v>1.54</v>
      </c>
      <c r="G70" s="30">
        <f t="shared" si="9"/>
        <v>0</v>
      </c>
      <c r="H70" s="30">
        <f t="shared" si="9"/>
        <v>0</v>
      </c>
      <c r="I70" s="30">
        <f t="shared" si="9"/>
        <v>0</v>
      </c>
      <c r="J70" s="31">
        <f>SUM(D70:I70)</f>
        <v>5972.95</v>
      </c>
      <c r="K70" s="8"/>
      <c r="L70" s="8"/>
    </row>
    <row r="71" spans="1:12" ht="15.75" thickTop="1">
      <c r="A71" s="8"/>
      <c r="B71" s="8"/>
      <c r="C71" s="8"/>
      <c r="D71" s="20"/>
      <c r="E71" s="20"/>
      <c r="F71" s="15"/>
      <c r="G71" s="15"/>
      <c r="H71" s="15"/>
      <c r="I71" s="15"/>
      <c r="J71" s="20"/>
      <c r="K71" s="8"/>
      <c r="L71" s="8"/>
    </row>
    <row r="72" spans="1:12">
      <c r="A72" s="8"/>
      <c r="B72" s="8"/>
      <c r="C72" s="8"/>
      <c r="D72" s="20"/>
      <c r="E72" s="20"/>
      <c r="F72" s="15"/>
      <c r="G72" s="15"/>
      <c r="H72" s="15"/>
      <c r="I72" s="15"/>
      <c r="J72" s="20"/>
      <c r="K72" s="8"/>
      <c r="L72" s="8"/>
    </row>
    <row r="73" spans="1:12">
      <c r="A73" s="8">
        <v>31</v>
      </c>
      <c r="B73" s="8" t="s">
        <v>24</v>
      </c>
      <c r="C73" s="8" t="s">
        <v>12</v>
      </c>
      <c r="D73" s="20">
        <v>2742.45</v>
      </c>
      <c r="E73" s="20">
        <v>41.41</v>
      </c>
      <c r="F73" s="15">
        <v>42.67</v>
      </c>
      <c r="G73" s="15">
        <v>0</v>
      </c>
      <c r="H73" s="15">
        <v>0</v>
      </c>
      <c r="I73" s="15">
        <v>0</v>
      </c>
      <c r="J73" s="20">
        <f>SUM(D73:I73)</f>
        <v>2826.5299999999997</v>
      </c>
      <c r="K73" s="8"/>
      <c r="L73" s="8"/>
    </row>
    <row r="74" spans="1:12" ht="15.75" thickBot="1">
      <c r="A74" s="8"/>
      <c r="B74" s="8"/>
      <c r="C74" s="8" t="s">
        <v>13</v>
      </c>
      <c r="D74" s="29">
        <v>95.63</v>
      </c>
      <c r="E74" s="29">
        <v>1.61</v>
      </c>
      <c r="F74" s="28">
        <v>1.57</v>
      </c>
      <c r="G74" s="28">
        <v>0</v>
      </c>
      <c r="H74" s="28">
        <v>0</v>
      </c>
      <c r="I74" s="28">
        <v>0</v>
      </c>
      <c r="J74" s="29">
        <f>SUM(D74:I74)</f>
        <v>98.809999999999988</v>
      </c>
      <c r="K74" s="8"/>
      <c r="L74" s="8"/>
    </row>
    <row r="75" spans="1:12">
      <c r="A75" s="8"/>
      <c r="B75" s="8"/>
      <c r="C75" s="8"/>
      <c r="D75" s="20"/>
      <c r="E75" s="20"/>
      <c r="F75" s="15"/>
      <c r="G75" s="15"/>
      <c r="H75" s="15"/>
      <c r="I75" s="15"/>
      <c r="J75" s="20"/>
      <c r="K75" s="8"/>
      <c r="L75" s="8"/>
    </row>
    <row r="76" spans="1:12" ht="15.75" thickBot="1">
      <c r="A76" s="8"/>
      <c r="B76" s="8"/>
      <c r="C76" s="8" t="s">
        <v>10</v>
      </c>
      <c r="D76" s="31">
        <f t="shared" ref="D76:I76" si="10">SUM(D73:D74)</f>
        <v>2838.08</v>
      </c>
      <c r="E76" s="31">
        <f t="shared" si="10"/>
        <v>43.019999999999996</v>
      </c>
      <c r="F76" s="30">
        <f t="shared" si="10"/>
        <v>44.24</v>
      </c>
      <c r="G76" s="30">
        <f t="shared" si="10"/>
        <v>0</v>
      </c>
      <c r="H76" s="30">
        <f t="shared" si="10"/>
        <v>0</v>
      </c>
      <c r="I76" s="30">
        <f t="shared" si="10"/>
        <v>0</v>
      </c>
      <c r="J76" s="31">
        <f>SUM(D76:I76)</f>
        <v>2925.3399999999997</v>
      </c>
      <c r="K76" s="8"/>
      <c r="L76" s="8"/>
    </row>
    <row r="77" spans="1:12" ht="15.75" thickTop="1">
      <c r="A77" s="8"/>
      <c r="B77" s="8"/>
      <c r="C77" s="8"/>
      <c r="D77" s="20"/>
      <c r="E77" s="20"/>
      <c r="F77" s="15"/>
      <c r="G77" s="15"/>
      <c r="H77" s="15"/>
      <c r="I77" s="15"/>
      <c r="J77" s="20"/>
      <c r="K77" s="8"/>
      <c r="L77" s="8"/>
    </row>
    <row r="78" spans="1:12">
      <c r="A78" s="8"/>
      <c r="B78" s="8"/>
      <c r="C78" s="8"/>
      <c r="D78" s="20"/>
      <c r="E78" s="20"/>
      <c r="F78" s="15"/>
      <c r="G78" s="15"/>
      <c r="H78" s="15"/>
      <c r="I78" s="15"/>
      <c r="J78" s="20"/>
      <c r="K78" s="8"/>
      <c r="L78" s="8"/>
    </row>
    <row r="79" spans="1:12">
      <c r="A79" s="8">
        <v>32</v>
      </c>
      <c r="B79" s="8" t="s">
        <v>25</v>
      </c>
      <c r="C79" s="8" t="s">
        <v>12</v>
      </c>
      <c r="D79" s="20">
        <v>16229.13</v>
      </c>
      <c r="E79" s="20">
        <v>208.65</v>
      </c>
      <c r="F79" s="15">
        <v>195.16</v>
      </c>
      <c r="G79" s="15">
        <v>0</v>
      </c>
      <c r="H79" s="15">
        <v>0</v>
      </c>
      <c r="I79" s="15">
        <v>0</v>
      </c>
      <c r="J79" s="20">
        <f>SUM(D79:I79)</f>
        <v>16632.939999999999</v>
      </c>
      <c r="K79" s="8"/>
      <c r="L79" s="8"/>
    </row>
    <row r="80" spans="1:12">
      <c r="A80" s="8"/>
      <c r="B80" s="8"/>
      <c r="C80" s="8" t="s">
        <v>13</v>
      </c>
      <c r="D80" s="25">
        <v>300.43</v>
      </c>
      <c r="E80" s="25">
        <v>3.69</v>
      </c>
      <c r="F80" s="24">
        <v>3.07</v>
      </c>
      <c r="G80" s="24">
        <v>0</v>
      </c>
      <c r="H80" s="24">
        <v>0</v>
      </c>
      <c r="I80" s="24">
        <v>0</v>
      </c>
      <c r="J80" s="25">
        <f>SUM(D80:I80)</f>
        <v>307.19</v>
      </c>
      <c r="K80" s="8"/>
      <c r="L80" s="8"/>
    </row>
    <row r="81" spans="1:12" hidden="1">
      <c r="A81" s="8"/>
      <c r="B81" s="8"/>
      <c r="C81" s="8" t="s">
        <v>73</v>
      </c>
      <c r="D81" s="20"/>
      <c r="E81" s="20"/>
      <c r="F81" s="26"/>
      <c r="G81" s="8"/>
      <c r="H81" s="26"/>
      <c r="I81" s="8"/>
      <c r="J81" s="20">
        <f>SUM(D81:I81)</f>
        <v>0</v>
      </c>
      <c r="K81" s="8"/>
      <c r="L81" s="8"/>
    </row>
    <row r="82" spans="1:12" ht="15.75" hidden="1" thickBot="1">
      <c r="A82" s="8"/>
      <c r="B82" s="8"/>
      <c r="C82" s="8" t="s">
        <v>78</v>
      </c>
      <c r="D82" s="29"/>
      <c r="E82" s="29"/>
      <c r="F82" s="33"/>
      <c r="G82" s="27"/>
      <c r="H82" s="27"/>
      <c r="I82" s="27"/>
      <c r="J82" s="29">
        <f>SUM(D82:I82)</f>
        <v>0</v>
      </c>
      <c r="K82" s="8"/>
      <c r="L82" s="8"/>
    </row>
    <row r="83" spans="1:12">
      <c r="A83" s="8"/>
      <c r="B83" s="8"/>
      <c r="C83" s="8"/>
      <c r="D83" s="20"/>
      <c r="E83" s="20"/>
      <c r="F83" s="15"/>
      <c r="G83" s="8"/>
      <c r="H83" s="8"/>
      <c r="I83" s="8"/>
      <c r="J83" s="20"/>
      <c r="K83" s="8"/>
      <c r="L83" s="8"/>
    </row>
    <row r="84" spans="1:12" ht="15.75" thickBot="1">
      <c r="A84" s="8"/>
      <c r="B84" s="8"/>
      <c r="C84" s="8" t="s">
        <v>10</v>
      </c>
      <c r="D84" s="31">
        <f t="shared" ref="D84:I84" si="11">SUM(D79:D82)</f>
        <v>16529.559999999998</v>
      </c>
      <c r="E84" s="31">
        <f t="shared" si="11"/>
        <v>212.34</v>
      </c>
      <c r="F84" s="30">
        <f t="shared" si="11"/>
        <v>198.23</v>
      </c>
      <c r="G84" s="30">
        <f t="shared" si="11"/>
        <v>0</v>
      </c>
      <c r="H84" s="30">
        <f t="shared" si="11"/>
        <v>0</v>
      </c>
      <c r="I84" s="30">
        <f t="shared" si="11"/>
        <v>0</v>
      </c>
      <c r="J84" s="31">
        <f>SUM(D84:I84)</f>
        <v>16940.129999999997</v>
      </c>
      <c r="K84" s="8"/>
      <c r="L84" s="8"/>
    </row>
    <row r="85" spans="1:12" ht="15.75" thickTop="1">
      <c r="A85" s="8"/>
      <c r="B85" s="8"/>
      <c r="C85" s="8"/>
      <c r="D85" s="20"/>
      <c r="E85" s="20"/>
      <c r="F85" s="15"/>
      <c r="G85" s="15"/>
      <c r="H85" s="15"/>
      <c r="I85" s="15"/>
      <c r="J85" s="20"/>
      <c r="K85" s="8"/>
      <c r="L85" s="8"/>
    </row>
    <row r="86" spans="1:12">
      <c r="A86" s="8"/>
      <c r="B86" s="8"/>
      <c r="C86" s="8"/>
      <c r="D86" s="20"/>
      <c r="E86" s="20"/>
      <c r="F86" s="15"/>
      <c r="G86" s="15"/>
      <c r="H86" s="15"/>
      <c r="I86" s="15"/>
      <c r="J86" s="20"/>
      <c r="K86" s="8"/>
      <c r="L86" s="8"/>
    </row>
    <row r="87" spans="1:12">
      <c r="A87" s="8">
        <v>33</v>
      </c>
      <c r="B87" s="8" t="s">
        <v>26</v>
      </c>
      <c r="C87" s="8" t="s">
        <v>12</v>
      </c>
      <c r="D87" s="20">
        <v>11009.9</v>
      </c>
      <c r="E87" s="20">
        <v>131.96</v>
      </c>
      <c r="F87" s="15">
        <v>82.63</v>
      </c>
      <c r="G87" s="15">
        <v>0</v>
      </c>
      <c r="H87" s="15">
        <v>0</v>
      </c>
      <c r="I87" s="15">
        <v>0</v>
      </c>
      <c r="J87" s="20">
        <f>SUM(D87:I87)</f>
        <v>11224.489999999998</v>
      </c>
      <c r="K87" s="8"/>
      <c r="L87" s="8"/>
    </row>
    <row r="88" spans="1:12" ht="15.75" thickBot="1">
      <c r="A88" s="8"/>
      <c r="B88" s="8"/>
      <c r="C88" s="8" t="s">
        <v>13</v>
      </c>
      <c r="D88" s="29">
        <v>145.87</v>
      </c>
      <c r="E88" s="29">
        <v>2.2799999999999998</v>
      </c>
      <c r="F88" s="28">
        <v>1.24</v>
      </c>
      <c r="G88" s="28">
        <v>0</v>
      </c>
      <c r="H88" s="28">
        <v>0</v>
      </c>
      <c r="I88" s="28">
        <v>0</v>
      </c>
      <c r="J88" s="29">
        <f>SUM(D88:I88)</f>
        <v>149.39000000000001</v>
      </c>
      <c r="K88" s="8"/>
      <c r="L88" s="8"/>
    </row>
    <row r="89" spans="1:12">
      <c r="A89" s="8"/>
      <c r="B89" s="8"/>
      <c r="C89" s="8"/>
      <c r="D89" s="20"/>
      <c r="E89" s="20"/>
      <c r="F89" s="15"/>
      <c r="G89" s="15"/>
      <c r="H89" s="15"/>
      <c r="I89" s="15"/>
      <c r="J89" s="20"/>
      <c r="K89" s="8"/>
      <c r="L89" s="8"/>
    </row>
    <row r="90" spans="1:12" ht="15.75" thickBot="1">
      <c r="A90" s="8"/>
      <c r="B90" s="8"/>
      <c r="C90" s="8" t="s">
        <v>10</v>
      </c>
      <c r="D90" s="31">
        <f t="shared" ref="D90:I90" si="12">SUM(D87:D88)</f>
        <v>11155.77</v>
      </c>
      <c r="E90" s="31">
        <f t="shared" si="12"/>
        <v>134.24</v>
      </c>
      <c r="F90" s="30">
        <f t="shared" si="12"/>
        <v>83.86999999999999</v>
      </c>
      <c r="G90" s="30">
        <f t="shared" si="12"/>
        <v>0</v>
      </c>
      <c r="H90" s="30">
        <f t="shared" si="12"/>
        <v>0</v>
      </c>
      <c r="I90" s="30">
        <f t="shared" si="12"/>
        <v>0</v>
      </c>
      <c r="J90" s="31">
        <f>SUM(D90:I90)</f>
        <v>11373.880000000001</v>
      </c>
      <c r="K90" s="8"/>
      <c r="L90" s="8"/>
    </row>
    <row r="91" spans="1:12" ht="15.75" thickTop="1">
      <c r="A91" s="8"/>
      <c r="B91" s="8"/>
      <c r="C91" s="8"/>
      <c r="D91" s="20"/>
      <c r="E91" s="20"/>
      <c r="F91" s="15"/>
      <c r="G91" s="15"/>
      <c r="H91" s="15"/>
      <c r="I91" s="15"/>
      <c r="J91" s="20"/>
      <c r="K91" s="8"/>
      <c r="L91" s="8"/>
    </row>
    <row r="92" spans="1:12">
      <c r="A92" s="8"/>
      <c r="B92" s="8"/>
      <c r="C92" s="8"/>
      <c r="D92" s="20"/>
      <c r="E92" s="20"/>
      <c r="F92" s="15"/>
      <c r="G92" s="15"/>
      <c r="H92" s="15"/>
      <c r="I92" s="15"/>
      <c r="J92" s="20"/>
      <c r="K92" s="8"/>
      <c r="L92" s="8"/>
    </row>
    <row r="93" spans="1:12">
      <c r="A93" s="8">
        <v>34</v>
      </c>
      <c r="B93" s="8" t="s">
        <v>27</v>
      </c>
      <c r="C93" s="8" t="s">
        <v>12</v>
      </c>
      <c r="D93" s="20">
        <v>13630</v>
      </c>
      <c r="E93" s="20">
        <v>240.45</v>
      </c>
      <c r="F93" s="15">
        <v>234.1</v>
      </c>
      <c r="G93" s="15">
        <v>0</v>
      </c>
      <c r="H93" s="15">
        <v>0</v>
      </c>
      <c r="I93" s="15">
        <v>0</v>
      </c>
      <c r="J93" s="20">
        <f>SUM(D93:I93)</f>
        <v>14104.550000000001</v>
      </c>
      <c r="K93" s="8"/>
      <c r="L93" s="8"/>
    </row>
    <row r="94" spans="1:12">
      <c r="A94" s="8"/>
      <c r="B94" s="8"/>
      <c r="C94" s="8" t="s">
        <v>35</v>
      </c>
      <c r="D94" s="20">
        <v>508.93</v>
      </c>
      <c r="E94" s="20">
        <v>8.99</v>
      </c>
      <c r="F94" s="15">
        <v>8.91</v>
      </c>
      <c r="G94" s="15">
        <v>0</v>
      </c>
      <c r="H94" s="15">
        <v>0</v>
      </c>
      <c r="I94" s="15">
        <v>0</v>
      </c>
      <c r="J94" s="20">
        <f>SUM(D94:I94)</f>
        <v>526.82999999999993</v>
      </c>
      <c r="K94" s="8"/>
      <c r="L94" s="8"/>
    </row>
    <row r="95" spans="1:12">
      <c r="A95" s="8"/>
      <c r="B95" s="8"/>
      <c r="C95" s="8" t="s">
        <v>13</v>
      </c>
      <c r="D95" s="20">
        <v>254.57</v>
      </c>
      <c r="E95" s="20">
        <v>4.4800000000000004</v>
      </c>
      <c r="F95" s="15">
        <v>8.91</v>
      </c>
      <c r="G95" s="15">
        <v>0</v>
      </c>
      <c r="H95" s="15">
        <v>0</v>
      </c>
      <c r="I95" s="15">
        <v>0</v>
      </c>
      <c r="J95" s="20">
        <f>SUM(D95:I95)</f>
        <v>267.96000000000004</v>
      </c>
      <c r="K95" s="8"/>
      <c r="L95" s="8"/>
    </row>
    <row r="96" spans="1:12" ht="15.75" thickBot="1">
      <c r="A96" s="8"/>
      <c r="B96" s="8"/>
      <c r="C96" s="8" t="s">
        <v>78</v>
      </c>
      <c r="D96" s="29">
        <v>1110.1600000000001</v>
      </c>
      <c r="E96" s="29">
        <v>20.45</v>
      </c>
      <c r="F96" s="28">
        <v>20.46</v>
      </c>
      <c r="G96" s="28">
        <v>0</v>
      </c>
      <c r="H96" s="28">
        <v>0</v>
      </c>
      <c r="I96" s="28">
        <v>0</v>
      </c>
      <c r="J96" s="29">
        <f>SUM(D96:I96)</f>
        <v>1151.0700000000002</v>
      </c>
      <c r="K96" s="8"/>
      <c r="L96" s="8"/>
    </row>
    <row r="97" spans="1:12">
      <c r="A97" s="8"/>
      <c r="B97" s="8"/>
      <c r="C97" s="8"/>
      <c r="D97" s="20"/>
      <c r="E97" s="20"/>
      <c r="F97" s="15"/>
      <c r="G97" s="15"/>
      <c r="H97" s="15"/>
      <c r="I97" s="15"/>
      <c r="J97" s="20"/>
      <c r="K97" s="8"/>
      <c r="L97" s="8"/>
    </row>
    <row r="98" spans="1:12" ht="15.75" thickBot="1">
      <c r="A98" s="8"/>
      <c r="B98" s="8"/>
      <c r="C98" s="8" t="s">
        <v>10</v>
      </c>
      <c r="D98" s="31">
        <f t="shared" ref="D98:I98" si="13">SUM(D93:D97)</f>
        <v>15503.66</v>
      </c>
      <c r="E98" s="31">
        <f t="shared" si="13"/>
        <v>274.37</v>
      </c>
      <c r="F98" s="30">
        <f t="shared" si="13"/>
        <v>272.38</v>
      </c>
      <c r="G98" s="30">
        <f t="shared" si="13"/>
        <v>0</v>
      </c>
      <c r="H98" s="30">
        <f t="shared" si="13"/>
        <v>0</v>
      </c>
      <c r="I98" s="30">
        <f t="shared" si="13"/>
        <v>0</v>
      </c>
      <c r="J98" s="31">
        <f>SUM(D98:I98)</f>
        <v>16050.41</v>
      </c>
      <c r="K98" s="8"/>
      <c r="L98" s="8"/>
    </row>
    <row r="99" spans="1:12" ht="15.75" thickTop="1">
      <c r="A99" s="8"/>
      <c r="B99" s="8"/>
      <c r="C99" s="8"/>
      <c r="D99" s="20"/>
      <c r="E99" s="20"/>
      <c r="F99" s="15"/>
      <c r="G99" s="15"/>
      <c r="H99" s="15"/>
      <c r="I99" s="15"/>
      <c r="J99" s="20"/>
      <c r="K99" s="8"/>
      <c r="L99" s="8"/>
    </row>
    <row r="100" spans="1:12">
      <c r="A100" s="8"/>
      <c r="B100" s="8"/>
      <c r="C100" s="8"/>
      <c r="D100" s="20"/>
      <c r="E100" s="20"/>
      <c r="F100" s="15"/>
      <c r="G100" s="15"/>
      <c r="H100" s="15"/>
      <c r="I100" s="15"/>
      <c r="J100" s="20"/>
      <c r="K100" s="8"/>
      <c r="L100" s="8"/>
    </row>
    <row r="101" spans="1:12" ht="15.75" thickBot="1">
      <c r="A101" s="8">
        <v>35</v>
      </c>
      <c r="B101" s="8" t="s">
        <v>28</v>
      </c>
      <c r="C101" s="8" t="s">
        <v>12</v>
      </c>
      <c r="D101" s="29">
        <v>6927.82</v>
      </c>
      <c r="E101" s="29">
        <v>222.94</v>
      </c>
      <c r="F101" s="28">
        <v>160.41</v>
      </c>
      <c r="G101" s="28">
        <v>0</v>
      </c>
      <c r="H101" s="28">
        <v>0</v>
      </c>
      <c r="I101" s="28">
        <v>0</v>
      </c>
      <c r="J101" s="29">
        <f>SUM(D101:I101)</f>
        <v>7311.1699999999992</v>
      </c>
      <c r="K101" s="8"/>
      <c r="L101" s="8"/>
    </row>
    <row r="102" spans="1:12">
      <c r="A102" s="8"/>
      <c r="B102" s="8"/>
      <c r="C102" s="8"/>
      <c r="D102" s="20"/>
      <c r="E102" s="20"/>
      <c r="F102" s="15"/>
      <c r="G102" s="15"/>
      <c r="H102" s="15"/>
      <c r="I102" s="15"/>
      <c r="J102" s="20"/>
      <c r="K102" s="8"/>
      <c r="L102" s="8"/>
    </row>
    <row r="103" spans="1:12" ht="15.75" thickBot="1">
      <c r="A103" s="8"/>
      <c r="B103" s="8"/>
      <c r="C103" s="8" t="s">
        <v>10</v>
      </c>
      <c r="D103" s="31">
        <f t="shared" ref="D103:I103" si="14">SUM(D101:D102)</f>
        <v>6927.82</v>
      </c>
      <c r="E103" s="31">
        <f t="shared" si="14"/>
        <v>222.94</v>
      </c>
      <c r="F103" s="30">
        <f t="shared" si="14"/>
        <v>160.41</v>
      </c>
      <c r="G103" s="30">
        <f t="shared" si="14"/>
        <v>0</v>
      </c>
      <c r="H103" s="30">
        <f t="shared" si="14"/>
        <v>0</v>
      </c>
      <c r="I103" s="30">
        <f t="shared" si="14"/>
        <v>0</v>
      </c>
      <c r="J103" s="31">
        <f>SUM(D103:I103)</f>
        <v>7311.1699999999992</v>
      </c>
      <c r="K103" s="8"/>
      <c r="L103" s="8"/>
    </row>
    <row r="104" spans="1:12" ht="15.75" thickTop="1">
      <c r="A104" s="8"/>
      <c r="B104" s="8"/>
      <c r="C104" s="8"/>
      <c r="D104" s="20"/>
      <c r="E104" s="20"/>
      <c r="F104" s="15"/>
      <c r="G104" s="15"/>
      <c r="H104" s="15"/>
      <c r="I104" s="15"/>
      <c r="J104" s="20"/>
      <c r="K104" s="8"/>
      <c r="L104" s="8"/>
    </row>
    <row r="105" spans="1:12">
      <c r="A105" s="8"/>
      <c r="B105" s="8"/>
      <c r="C105" s="8"/>
      <c r="D105" s="20"/>
      <c r="E105" s="20"/>
      <c r="F105" s="15"/>
      <c r="G105" s="15"/>
      <c r="H105" s="15"/>
      <c r="I105" s="15"/>
      <c r="J105" s="20"/>
      <c r="K105" s="8"/>
      <c r="L105" s="8"/>
    </row>
    <row r="106" spans="1:12">
      <c r="A106" s="8">
        <v>36</v>
      </c>
      <c r="B106" s="8" t="s">
        <v>29</v>
      </c>
      <c r="C106" s="8" t="s">
        <v>12</v>
      </c>
      <c r="D106" s="20">
        <v>9939.92</v>
      </c>
      <c r="E106" s="20">
        <v>225.18</v>
      </c>
      <c r="F106" s="15">
        <v>90.81</v>
      </c>
      <c r="G106" s="15">
        <v>0</v>
      </c>
      <c r="H106" s="15">
        <v>0</v>
      </c>
      <c r="I106" s="15">
        <v>0</v>
      </c>
      <c r="J106" s="20">
        <f>SUM(D106:I106)</f>
        <v>10255.91</v>
      </c>
      <c r="K106" s="8"/>
      <c r="L106" s="8"/>
    </row>
    <row r="107" spans="1:12">
      <c r="A107" s="8"/>
      <c r="B107" s="8"/>
      <c r="C107" s="38" t="s">
        <v>13</v>
      </c>
      <c r="D107" s="20">
        <v>169.14</v>
      </c>
      <c r="E107" s="20">
        <v>4.28</v>
      </c>
      <c r="F107" s="15">
        <v>3.63</v>
      </c>
      <c r="G107" s="15">
        <v>0</v>
      </c>
      <c r="H107" s="15">
        <v>0</v>
      </c>
      <c r="I107" s="15">
        <v>0</v>
      </c>
      <c r="J107" s="20">
        <f>SUM(D107:I107)</f>
        <v>177.04999999999998</v>
      </c>
      <c r="K107" s="8"/>
      <c r="L107" s="8"/>
    </row>
    <row r="108" spans="1:12" ht="15.75" thickBot="1">
      <c r="A108" s="8"/>
      <c r="B108" s="8"/>
      <c r="C108" s="38" t="s">
        <v>109</v>
      </c>
      <c r="D108" s="29">
        <v>795.18</v>
      </c>
      <c r="E108" s="29">
        <v>21.23</v>
      </c>
      <c r="F108" s="28">
        <v>0</v>
      </c>
      <c r="G108" s="28">
        <v>0</v>
      </c>
      <c r="H108" s="28">
        <v>0</v>
      </c>
      <c r="I108" s="28">
        <v>0</v>
      </c>
      <c r="J108" s="29">
        <f>SUM(D108:I108)</f>
        <v>816.41</v>
      </c>
      <c r="K108" s="8"/>
      <c r="L108" s="8"/>
    </row>
    <row r="109" spans="1:12">
      <c r="A109" s="8"/>
      <c r="B109" s="8"/>
      <c r="C109" s="8"/>
      <c r="D109" s="20"/>
      <c r="E109" s="20"/>
      <c r="F109" s="15"/>
      <c r="G109" s="15"/>
      <c r="H109" s="15"/>
      <c r="I109" s="15"/>
      <c r="J109" s="20"/>
      <c r="K109" s="8"/>
      <c r="L109" s="8"/>
    </row>
    <row r="110" spans="1:12" ht="15.75" thickBot="1">
      <c r="A110" s="8"/>
      <c r="B110" s="8"/>
      <c r="C110" s="8" t="s">
        <v>10</v>
      </c>
      <c r="D110" s="31">
        <f t="shared" ref="D110:I110" si="15">SUM(D106:D108)</f>
        <v>10904.24</v>
      </c>
      <c r="E110" s="31">
        <f t="shared" si="15"/>
        <v>250.69</v>
      </c>
      <c r="F110" s="30">
        <f t="shared" si="15"/>
        <v>94.44</v>
      </c>
      <c r="G110" s="30">
        <f t="shared" si="15"/>
        <v>0</v>
      </c>
      <c r="H110" s="30">
        <f t="shared" si="15"/>
        <v>0</v>
      </c>
      <c r="I110" s="30">
        <f t="shared" si="15"/>
        <v>0</v>
      </c>
      <c r="J110" s="31">
        <f>SUM(D110:I110)</f>
        <v>11249.37</v>
      </c>
      <c r="K110" s="8"/>
      <c r="L110" s="8"/>
    </row>
    <row r="111" spans="1:12" ht="15.75" thickTop="1">
      <c r="A111" s="8"/>
      <c r="B111" s="8"/>
      <c r="C111" s="8"/>
      <c r="D111" s="20"/>
      <c r="E111" s="20"/>
      <c r="F111" s="15"/>
      <c r="G111" s="15"/>
      <c r="H111" s="15"/>
      <c r="I111" s="15"/>
      <c r="J111" s="20"/>
      <c r="K111" s="8"/>
      <c r="L111" s="8"/>
    </row>
    <row r="112" spans="1:12">
      <c r="A112" s="8"/>
      <c r="B112" s="8"/>
      <c r="C112" s="8"/>
      <c r="D112" s="20"/>
      <c r="E112" s="20"/>
      <c r="F112" s="15"/>
      <c r="G112" s="15"/>
      <c r="H112" s="15"/>
      <c r="I112" s="15"/>
      <c r="J112" s="20"/>
      <c r="K112" s="8"/>
      <c r="L112" s="8"/>
    </row>
    <row r="113" spans="1:12" ht="15.75" thickBot="1">
      <c r="A113" s="8">
        <v>37</v>
      </c>
      <c r="B113" s="8" t="s">
        <v>30</v>
      </c>
      <c r="C113" s="8" t="s">
        <v>12</v>
      </c>
      <c r="D113" s="29">
        <v>12986.79</v>
      </c>
      <c r="E113" s="29">
        <v>736.51</v>
      </c>
      <c r="F113" s="28">
        <v>453.8</v>
      </c>
      <c r="G113" s="28">
        <v>0</v>
      </c>
      <c r="H113" s="28">
        <v>0</v>
      </c>
      <c r="I113" s="28">
        <v>0</v>
      </c>
      <c r="J113" s="29">
        <f>SUM(D113:I113)</f>
        <v>14177.1</v>
      </c>
      <c r="K113" s="8"/>
      <c r="L113" s="8"/>
    </row>
    <row r="114" spans="1:12">
      <c r="A114" s="8"/>
      <c r="B114" s="8"/>
      <c r="C114" s="8"/>
      <c r="D114" s="20"/>
      <c r="E114" s="20"/>
      <c r="F114" s="15"/>
      <c r="G114" s="15"/>
      <c r="H114" s="15"/>
      <c r="I114" s="15"/>
      <c r="J114" s="20"/>
      <c r="K114" s="8"/>
      <c r="L114" s="8"/>
    </row>
    <row r="115" spans="1:12" ht="15.75" thickBot="1">
      <c r="A115" s="8"/>
      <c r="B115" s="8"/>
      <c r="C115" s="8" t="s">
        <v>10</v>
      </c>
      <c r="D115" s="31">
        <f t="shared" ref="D115:I115" si="16">SUM(D113:D114)</f>
        <v>12986.79</v>
      </c>
      <c r="E115" s="31">
        <f t="shared" si="16"/>
        <v>736.51</v>
      </c>
      <c r="F115" s="30">
        <f t="shared" si="16"/>
        <v>453.8</v>
      </c>
      <c r="G115" s="30">
        <f t="shared" si="16"/>
        <v>0</v>
      </c>
      <c r="H115" s="30">
        <f t="shared" si="16"/>
        <v>0</v>
      </c>
      <c r="I115" s="30">
        <f t="shared" si="16"/>
        <v>0</v>
      </c>
      <c r="J115" s="31">
        <f>SUM(D115:I115)</f>
        <v>14177.1</v>
      </c>
      <c r="K115" s="8"/>
      <c r="L115" s="8"/>
    </row>
    <row r="116" spans="1:12" ht="15.75" thickTop="1">
      <c r="A116" s="8"/>
      <c r="B116" s="8"/>
      <c r="C116" s="8"/>
      <c r="D116" s="20"/>
      <c r="E116" s="20"/>
      <c r="F116" s="15"/>
      <c r="G116" s="15"/>
      <c r="H116" s="15"/>
      <c r="I116" s="15"/>
      <c r="J116" s="20"/>
      <c r="K116" s="8"/>
      <c r="L116" s="8"/>
    </row>
    <row r="117" spans="1:12">
      <c r="A117" s="8"/>
      <c r="B117" s="8"/>
      <c r="C117" s="8"/>
      <c r="D117" s="20"/>
      <c r="E117" s="20"/>
      <c r="F117" s="15"/>
      <c r="G117" s="15"/>
      <c r="H117" s="15"/>
      <c r="I117" s="15"/>
      <c r="J117" s="20"/>
      <c r="K117" s="8"/>
      <c r="L117" s="8"/>
    </row>
    <row r="118" spans="1:12">
      <c r="A118" s="8">
        <v>38</v>
      </c>
      <c r="B118" s="8" t="s">
        <v>31</v>
      </c>
      <c r="C118" s="8" t="s">
        <v>12</v>
      </c>
      <c r="D118" s="20">
        <v>8265.8799999999992</v>
      </c>
      <c r="E118" s="20">
        <v>465.02</v>
      </c>
      <c r="F118" s="15">
        <v>425.94</v>
      </c>
      <c r="G118" s="15">
        <v>0</v>
      </c>
      <c r="H118" s="15">
        <v>0</v>
      </c>
      <c r="I118" s="15">
        <v>0</v>
      </c>
      <c r="J118" s="20">
        <f>SUM(D118:I118)</f>
        <v>9156.84</v>
      </c>
      <c r="K118" s="8"/>
      <c r="L118" s="8"/>
    </row>
    <row r="119" spans="1:12">
      <c r="A119" s="8"/>
      <c r="B119" s="8"/>
      <c r="C119" s="8" t="s">
        <v>35</v>
      </c>
      <c r="D119" s="20">
        <v>725.94</v>
      </c>
      <c r="E119" s="20">
        <v>39.36</v>
      </c>
      <c r="F119" s="15">
        <v>38.92</v>
      </c>
      <c r="G119" s="15">
        <v>0</v>
      </c>
      <c r="H119" s="15">
        <v>0</v>
      </c>
      <c r="I119" s="15">
        <v>0</v>
      </c>
      <c r="J119" s="20">
        <f>SUM(D119:I119)</f>
        <v>804.22</v>
      </c>
      <c r="K119" s="8"/>
      <c r="L119" s="8"/>
    </row>
    <row r="120" spans="1:12">
      <c r="A120" s="8"/>
      <c r="B120" s="8"/>
      <c r="C120" s="8" t="s">
        <v>13</v>
      </c>
      <c r="D120" s="20">
        <v>249.11</v>
      </c>
      <c r="E120" s="20">
        <v>12.99</v>
      </c>
      <c r="F120" s="15">
        <v>25.74</v>
      </c>
      <c r="G120" s="15">
        <v>0</v>
      </c>
      <c r="H120" s="15">
        <v>0</v>
      </c>
      <c r="I120" s="15">
        <v>0</v>
      </c>
      <c r="J120" s="20">
        <f>SUM(D120:I120)</f>
        <v>287.84000000000003</v>
      </c>
      <c r="K120" s="8"/>
      <c r="L120" s="8"/>
    </row>
    <row r="121" spans="1:12" ht="15.75" thickBot="1">
      <c r="A121" s="8"/>
      <c r="B121" s="8"/>
      <c r="C121" s="8" t="s">
        <v>78</v>
      </c>
      <c r="D121" s="29">
        <v>747.01</v>
      </c>
      <c r="E121" s="29">
        <v>40.92</v>
      </c>
      <c r="F121" s="28">
        <v>59.29</v>
      </c>
      <c r="G121" s="28">
        <v>0</v>
      </c>
      <c r="H121" s="28">
        <v>0</v>
      </c>
      <c r="I121" s="28">
        <v>0</v>
      </c>
      <c r="J121" s="29">
        <f>SUM(D121:I121)</f>
        <v>847.21999999999991</v>
      </c>
      <c r="K121" s="8"/>
      <c r="L121" s="8"/>
    </row>
    <row r="122" spans="1:12">
      <c r="A122" s="8"/>
      <c r="B122" s="8"/>
      <c r="C122" s="8"/>
      <c r="D122" s="20"/>
      <c r="E122" s="20"/>
      <c r="F122" s="15"/>
      <c r="G122" s="15"/>
      <c r="H122" s="15"/>
      <c r="I122" s="15"/>
      <c r="J122" s="20"/>
      <c r="K122" s="8"/>
      <c r="L122" s="8"/>
    </row>
    <row r="123" spans="1:12" ht="15.75" thickBot="1">
      <c r="A123" s="8"/>
      <c r="B123" s="8"/>
      <c r="C123" s="8" t="s">
        <v>10</v>
      </c>
      <c r="D123" s="31">
        <f t="shared" ref="D123:I123" si="17">SUM(D118:D121)</f>
        <v>9987.94</v>
      </c>
      <c r="E123" s="31">
        <f t="shared" si="17"/>
        <v>558.29</v>
      </c>
      <c r="F123" s="30">
        <f t="shared" si="17"/>
        <v>549.89</v>
      </c>
      <c r="G123" s="30">
        <f t="shared" si="17"/>
        <v>0</v>
      </c>
      <c r="H123" s="30">
        <f t="shared" si="17"/>
        <v>0</v>
      </c>
      <c r="I123" s="30">
        <f t="shared" si="17"/>
        <v>0</v>
      </c>
      <c r="J123" s="31">
        <f>SUM(D123:I123)</f>
        <v>11096.119999999999</v>
      </c>
      <c r="K123" s="8"/>
      <c r="L123" s="8"/>
    </row>
    <row r="124" spans="1:12" ht="15.75" thickTop="1">
      <c r="A124" s="8"/>
      <c r="B124" s="8"/>
      <c r="C124" s="8"/>
      <c r="D124" s="20"/>
      <c r="E124" s="20"/>
      <c r="F124" s="15"/>
      <c r="G124" s="15"/>
      <c r="H124" s="15"/>
      <c r="I124" s="15"/>
      <c r="J124" s="20"/>
      <c r="K124" s="8"/>
      <c r="L124" s="8"/>
    </row>
    <row r="125" spans="1:12">
      <c r="A125" s="8"/>
      <c r="B125" s="8"/>
      <c r="C125" s="8"/>
      <c r="D125" s="20"/>
      <c r="E125" s="20"/>
      <c r="F125" s="15"/>
      <c r="G125" s="15"/>
      <c r="H125" s="15"/>
      <c r="I125" s="15"/>
      <c r="J125" s="20"/>
      <c r="K125" s="8"/>
      <c r="L125" s="8"/>
    </row>
    <row r="126" spans="1:12" ht="15.75" thickBot="1">
      <c r="A126" s="8">
        <v>39</v>
      </c>
      <c r="B126" s="8" t="s">
        <v>32</v>
      </c>
      <c r="C126" s="8" t="s">
        <v>12</v>
      </c>
      <c r="D126" s="29">
        <v>0</v>
      </c>
      <c r="E126" s="29">
        <v>0</v>
      </c>
      <c r="F126" s="28">
        <v>0</v>
      </c>
      <c r="G126" s="28">
        <v>0</v>
      </c>
      <c r="H126" s="28">
        <v>0</v>
      </c>
      <c r="I126" s="28">
        <v>0</v>
      </c>
      <c r="J126" s="29">
        <f>SUM(D126:I126)</f>
        <v>0</v>
      </c>
      <c r="K126" s="8"/>
      <c r="L126" s="8"/>
    </row>
    <row r="127" spans="1:12">
      <c r="A127" s="8"/>
      <c r="B127" s="8"/>
      <c r="C127" s="8"/>
      <c r="D127" s="20"/>
      <c r="E127" s="20"/>
      <c r="F127" s="15"/>
      <c r="G127" s="15"/>
      <c r="H127" s="15"/>
      <c r="I127" s="15"/>
      <c r="J127" s="20"/>
      <c r="K127" s="8"/>
      <c r="L127" s="8"/>
    </row>
    <row r="128" spans="1:12" ht="15.75" thickBot="1">
      <c r="A128" s="8"/>
      <c r="B128" s="8"/>
      <c r="C128" s="8" t="s">
        <v>10</v>
      </c>
      <c r="D128" s="31">
        <f>D126</f>
        <v>0</v>
      </c>
      <c r="E128" s="31">
        <f t="shared" ref="E128:J128" si="18">E126</f>
        <v>0</v>
      </c>
      <c r="F128" s="30">
        <f t="shared" si="18"/>
        <v>0</v>
      </c>
      <c r="G128" s="30">
        <f t="shared" si="18"/>
        <v>0</v>
      </c>
      <c r="H128" s="30">
        <f t="shared" si="18"/>
        <v>0</v>
      </c>
      <c r="I128" s="30">
        <f t="shared" si="18"/>
        <v>0</v>
      </c>
      <c r="J128" s="30">
        <f t="shared" si="18"/>
        <v>0</v>
      </c>
      <c r="K128" s="8"/>
      <c r="L128" s="8"/>
    </row>
    <row r="129" spans="1:12" ht="15.75" thickTop="1">
      <c r="A129" s="8"/>
      <c r="B129" s="8"/>
      <c r="C129" s="8"/>
      <c r="D129" s="20"/>
      <c r="E129" s="20"/>
      <c r="F129" s="15"/>
      <c r="G129" s="15"/>
      <c r="H129" s="15"/>
      <c r="I129" s="15"/>
      <c r="J129" s="20"/>
      <c r="K129" s="8"/>
      <c r="L129" s="8"/>
    </row>
    <row r="130" spans="1:12">
      <c r="A130" s="8"/>
      <c r="B130" s="8"/>
      <c r="C130" s="8"/>
      <c r="D130" s="20"/>
      <c r="E130" s="20"/>
      <c r="F130" s="15"/>
      <c r="G130" s="15"/>
      <c r="H130" s="15"/>
      <c r="I130" s="15"/>
      <c r="J130" s="20"/>
      <c r="K130" s="8"/>
      <c r="L130" s="8"/>
    </row>
    <row r="131" spans="1:12" ht="15.75" thickBot="1">
      <c r="A131" s="8">
        <v>40</v>
      </c>
      <c r="B131" s="8" t="s">
        <v>33</v>
      </c>
      <c r="C131" s="8" t="s">
        <v>12</v>
      </c>
      <c r="D131" s="29">
        <v>8383.01</v>
      </c>
      <c r="E131" s="29">
        <v>100.52</v>
      </c>
      <c r="F131" s="28">
        <v>0</v>
      </c>
      <c r="G131" s="28">
        <v>0</v>
      </c>
      <c r="H131" s="28">
        <v>0</v>
      </c>
      <c r="I131" s="28">
        <v>0</v>
      </c>
      <c r="J131" s="29">
        <f>SUM(D131:I131)</f>
        <v>8483.5300000000007</v>
      </c>
      <c r="K131" s="8"/>
      <c r="L131" s="8"/>
    </row>
    <row r="132" spans="1:12">
      <c r="A132" s="8"/>
      <c r="B132" s="8"/>
      <c r="C132" s="8"/>
      <c r="D132" s="20"/>
      <c r="E132" s="20"/>
      <c r="F132" s="15"/>
      <c r="G132" s="15"/>
      <c r="H132" s="15"/>
      <c r="I132" s="15"/>
      <c r="J132" s="20"/>
      <c r="K132" s="8"/>
      <c r="L132" s="8"/>
    </row>
    <row r="133" spans="1:12" ht="15.75" thickBot="1">
      <c r="A133" s="8"/>
      <c r="B133" s="8"/>
      <c r="C133" s="8" t="s">
        <v>10</v>
      </c>
      <c r="D133" s="31">
        <f t="shared" ref="D133:I133" si="19">SUM(D131:D132)</f>
        <v>8383.01</v>
      </c>
      <c r="E133" s="31">
        <f t="shared" si="19"/>
        <v>100.52</v>
      </c>
      <c r="F133" s="30">
        <f t="shared" si="19"/>
        <v>0</v>
      </c>
      <c r="G133" s="30">
        <f t="shared" si="19"/>
        <v>0</v>
      </c>
      <c r="H133" s="30">
        <f t="shared" si="19"/>
        <v>0</v>
      </c>
      <c r="I133" s="30">
        <f t="shared" si="19"/>
        <v>0</v>
      </c>
      <c r="J133" s="31">
        <f>SUM(D133:I133)</f>
        <v>8483.5300000000007</v>
      </c>
      <c r="K133" s="8"/>
      <c r="L133" s="8"/>
    </row>
    <row r="134" spans="1:12" ht="15.75" thickTop="1">
      <c r="A134" s="8"/>
      <c r="B134" s="8"/>
      <c r="C134" s="8"/>
      <c r="D134" s="20"/>
      <c r="E134" s="20"/>
      <c r="F134" s="15"/>
      <c r="G134" s="15"/>
      <c r="H134" s="15"/>
      <c r="I134" s="15"/>
      <c r="J134" s="20"/>
      <c r="K134" s="8"/>
      <c r="L134" s="8"/>
    </row>
    <row r="135" spans="1:12">
      <c r="A135" s="8"/>
      <c r="B135" s="8"/>
      <c r="C135" s="8"/>
      <c r="D135" s="20"/>
      <c r="E135" s="20"/>
      <c r="F135" s="15"/>
      <c r="G135" s="15"/>
      <c r="H135" s="15"/>
      <c r="I135" s="15"/>
      <c r="J135" s="20"/>
      <c r="K135" s="8"/>
      <c r="L135" s="8"/>
    </row>
    <row r="136" spans="1:12">
      <c r="A136" s="8">
        <v>41</v>
      </c>
      <c r="B136" s="8" t="s">
        <v>34</v>
      </c>
      <c r="C136" s="8" t="s">
        <v>12</v>
      </c>
      <c r="D136" s="20">
        <v>8666.67</v>
      </c>
      <c r="E136" s="41">
        <v>0</v>
      </c>
      <c r="F136" s="15">
        <v>0</v>
      </c>
      <c r="G136" s="15">
        <v>0</v>
      </c>
      <c r="H136" s="15">
        <v>0</v>
      </c>
      <c r="I136" s="15">
        <v>0</v>
      </c>
      <c r="J136" s="20">
        <f>SUM(D136:I136)</f>
        <v>8666.67</v>
      </c>
      <c r="K136" s="8"/>
      <c r="L136" s="8"/>
    </row>
    <row r="137" spans="1:12">
      <c r="A137" s="8"/>
      <c r="B137" s="8"/>
      <c r="C137" s="38" t="s">
        <v>35</v>
      </c>
      <c r="D137" s="20">
        <v>481.19</v>
      </c>
      <c r="E137" s="41">
        <v>0</v>
      </c>
      <c r="F137" s="15">
        <v>0</v>
      </c>
      <c r="G137" s="15">
        <v>0</v>
      </c>
      <c r="H137" s="15">
        <v>0</v>
      </c>
      <c r="I137" s="15">
        <v>0</v>
      </c>
      <c r="J137" s="20">
        <f>SUM(D137:I137)</f>
        <v>481.19</v>
      </c>
      <c r="K137" s="8"/>
      <c r="L137" s="8"/>
    </row>
    <row r="138" spans="1:12" ht="15.75" thickBot="1">
      <c r="A138" s="8"/>
      <c r="B138" s="8"/>
      <c r="C138" s="38" t="s">
        <v>109</v>
      </c>
      <c r="D138" s="29">
        <v>861.92</v>
      </c>
      <c r="E138" s="42">
        <v>0</v>
      </c>
      <c r="F138" s="28">
        <v>0</v>
      </c>
      <c r="G138" s="28">
        <v>0</v>
      </c>
      <c r="H138" s="28">
        <v>0</v>
      </c>
      <c r="I138" s="28">
        <v>0</v>
      </c>
      <c r="J138" s="29">
        <f>SUM(D138:I138)</f>
        <v>861.92</v>
      </c>
      <c r="K138" s="8"/>
      <c r="L138" s="8"/>
    </row>
    <row r="139" spans="1:12">
      <c r="A139" s="8"/>
      <c r="B139" s="8"/>
      <c r="C139" s="8"/>
      <c r="D139" s="20"/>
      <c r="E139" s="41"/>
      <c r="F139" s="15"/>
      <c r="G139" s="15"/>
      <c r="H139" s="15"/>
      <c r="I139" s="15"/>
      <c r="J139" s="20"/>
      <c r="K139" s="8"/>
      <c r="L139" s="8"/>
    </row>
    <row r="140" spans="1:12" ht="15.75" thickBot="1">
      <c r="A140" s="8"/>
      <c r="B140" s="8"/>
      <c r="C140" s="8" t="s">
        <v>10</v>
      </c>
      <c r="D140" s="31">
        <f t="shared" ref="D140:I140" si="20">SUM(D136:D138)</f>
        <v>10009.780000000001</v>
      </c>
      <c r="E140" s="43">
        <f t="shared" si="20"/>
        <v>0</v>
      </c>
      <c r="F140" s="30">
        <f t="shared" si="20"/>
        <v>0</v>
      </c>
      <c r="G140" s="30">
        <f t="shared" si="20"/>
        <v>0</v>
      </c>
      <c r="H140" s="30">
        <f t="shared" si="20"/>
        <v>0</v>
      </c>
      <c r="I140" s="30">
        <f t="shared" si="20"/>
        <v>0</v>
      </c>
      <c r="J140" s="31">
        <f>SUM(D140:I140)</f>
        <v>10009.780000000001</v>
      </c>
      <c r="K140" s="8"/>
      <c r="L140" s="8"/>
    </row>
    <row r="141" spans="1:12" ht="15.75" thickTop="1">
      <c r="A141" s="8"/>
      <c r="B141" s="8"/>
      <c r="C141" s="8"/>
      <c r="D141" s="20"/>
      <c r="E141" s="20"/>
      <c r="F141" s="15"/>
      <c r="G141" s="15"/>
      <c r="H141" s="15"/>
      <c r="I141" s="15"/>
      <c r="J141" s="20"/>
      <c r="K141" s="8"/>
      <c r="L141" s="8"/>
    </row>
    <row r="142" spans="1:12">
      <c r="A142" s="8"/>
      <c r="B142" s="8"/>
      <c r="C142" s="8"/>
      <c r="D142" s="20"/>
      <c r="E142" s="20"/>
      <c r="F142" s="15"/>
      <c r="G142" s="15"/>
      <c r="H142" s="15"/>
      <c r="I142" s="15"/>
      <c r="J142" s="20"/>
      <c r="K142" s="8"/>
      <c r="L142" s="8"/>
    </row>
    <row r="143" spans="1:12">
      <c r="A143" s="8">
        <v>42</v>
      </c>
      <c r="B143" s="8" t="s">
        <v>36</v>
      </c>
      <c r="C143" s="8" t="s">
        <v>12</v>
      </c>
      <c r="D143" s="20">
        <v>12655.01</v>
      </c>
      <c r="E143" s="20">
        <v>484.47</v>
      </c>
      <c r="F143" s="40">
        <v>300.07</v>
      </c>
      <c r="G143" s="15">
        <v>0</v>
      </c>
      <c r="H143" s="15">
        <v>0</v>
      </c>
      <c r="I143" s="15">
        <v>0</v>
      </c>
      <c r="J143" s="20">
        <f>SUM(D143:I143)</f>
        <v>13439.55</v>
      </c>
      <c r="K143" s="8"/>
      <c r="L143" s="8"/>
    </row>
    <row r="144" spans="1:12" ht="15.75" thickBot="1">
      <c r="A144" s="8"/>
      <c r="B144" s="8"/>
      <c r="C144" s="8" t="s">
        <v>13</v>
      </c>
      <c r="D144" s="29">
        <v>644.76</v>
      </c>
      <c r="E144" s="29">
        <v>18.600000000000001</v>
      </c>
      <c r="F144" s="28">
        <v>10.17</v>
      </c>
      <c r="G144" s="28">
        <v>0</v>
      </c>
      <c r="H144" s="28">
        <v>0</v>
      </c>
      <c r="I144" s="28">
        <v>0</v>
      </c>
      <c r="J144" s="29">
        <f>SUM(D144:I144)</f>
        <v>673.53</v>
      </c>
      <c r="K144" s="8"/>
      <c r="L144" s="8"/>
    </row>
    <row r="145" spans="1:12">
      <c r="A145" s="8"/>
      <c r="B145" s="8"/>
      <c r="C145" s="8"/>
      <c r="D145" s="20"/>
      <c r="E145" s="20"/>
      <c r="F145" s="15"/>
      <c r="G145" s="15"/>
      <c r="H145" s="15"/>
      <c r="I145" s="15"/>
      <c r="J145" s="20"/>
      <c r="K145" s="8"/>
      <c r="L145" s="8"/>
    </row>
    <row r="146" spans="1:12" ht="15.75" thickBot="1">
      <c r="A146" s="8"/>
      <c r="B146" s="8"/>
      <c r="C146" s="8" t="s">
        <v>10</v>
      </c>
      <c r="D146" s="31">
        <f t="shared" ref="D146:I146" si="21">SUM(D143:D144)</f>
        <v>13299.77</v>
      </c>
      <c r="E146" s="31">
        <f t="shared" si="21"/>
        <v>503.07000000000005</v>
      </c>
      <c r="F146" s="30">
        <f t="shared" si="21"/>
        <v>310.24</v>
      </c>
      <c r="G146" s="30">
        <f t="shared" si="21"/>
        <v>0</v>
      </c>
      <c r="H146" s="30">
        <f t="shared" si="21"/>
        <v>0</v>
      </c>
      <c r="I146" s="30">
        <f t="shared" si="21"/>
        <v>0</v>
      </c>
      <c r="J146" s="31">
        <f>SUM(D146:I146)</f>
        <v>14113.08</v>
      </c>
      <c r="K146" s="8"/>
      <c r="L146" s="8"/>
    </row>
    <row r="147" spans="1:12" ht="15.75" thickTop="1">
      <c r="A147" s="8"/>
      <c r="B147" s="8"/>
      <c r="C147" s="8"/>
      <c r="D147" s="20"/>
      <c r="E147" s="20"/>
      <c r="F147" s="15"/>
      <c r="G147" s="15"/>
      <c r="H147" s="15"/>
      <c r="I147" s="15"/>
      <c r="J147" s="20"/>
      <c r="K147" s="8"/>
      <c r="L147" s="8"/>
    </row>
    <row r="148" spans="1:12">
      <c r="A148" s="8"/>
      <c r="B148" s="8"/>
      <c r="C148" s="8"/>
      <c r="D148" s="20"/>
      <c r="E148" s="20"/>
      <c r="F148" s="15"/>
      <c r="G148" s="15"/>
      <c r="H148" s="15"/>
      <c r="I148" s="15"/>
      <c r="J148" s="20"/>
      <c r="K148" s="8"/>
      <c r="L148" s="8"/>
    </row>
    <row r="149" spans="1:12">
      <c r="A149" s="8">
        <v>43</v>
      </c>
      <c r="B149" s="8" t="s">
        <v>37</v>
      </c>
      <c r="C149" s="8" t="s">
        <v>12</v>
      </c>
      <c r="D149" s="20">
        <v>8203.84</v>
      </c>
      <c r="E149" s="35">
        <v>0</v>
      </c>
      <c r="F149" s="15">
        <v>0</v>
      </c>
      <c r="G149" s="15">
        <v>0</v>
      </c>
      <c r="H149" s="15">
        <v>0</v>
      </c>
      <c r="I149" s="15">
        <v>0</v>
      </c>
      <c r="J149" s="20">
        <f>SUM(D149:I149)</f>
        <v>8203.84</v>
      </c>
      <c r="K149" s="8"/>
      <c r="L149" s="8"/>
    </row>
    <row r="150" spans="1:12">
      <c r="A150" s="8"/>
      <c r="B150" s="8"/>
      <c r="C150" s="8" t="s">
        <v>35</v>
      </c>
      <c r="D150" s="20">
        <v>364.41</v>
      </c>
      <c r="E150" s="35">
        <v>0</v>
      </c>
      <c r="F150" s="15">
        <v>0</v>
      </c>
      <c r="G150" s="15">
        <v>0</v>
      </c>
      <c r="H150" s="15">
        <v>0</v>
      </c>
      <c r="I150" s="15">
        <v>0</v>
      </c>
      <c r="J150" s="20">
        <f>SUM(D150:I150)</f>
        <v>364.41</v>
      </c>
      <c r="K150" s="8"/>
      <c r="L150" s="8"/>
    </row>
    <row r="151" spans="1:12">
      <c r="A151" s="8"/>
      <c r="B151" s="8"/>
      <c r="C151" s="8" t="s">
        <v>13</v>
      </c>
      <c r="D151" s="20">
        <v>213.98</v>
      </c>
      <c r="E151" s="35">
        <v>0</v>
      </c>
      <c r="F151" s="15">
        <v>0</v>
      </c>
      <c r="G151" s="15">
        <v>0</v>
      </c>
      <c r="H151" s="15">
        <v>0</v>
      </c>
      <c r="I151" s="15">
        <v>0</v>
      </c>
      <c r="J151" s="20">
        <f>SUM(D151:I151)</f>
        <v>213.98</v>
      </c>
      <c r="K151" s="8"/>
      <c r="L151" s="8"/>
    </row>
    <row r="152" spans="1:12" ht="15.75" thickBot="1">
      <c r="A152" s="8"/>
      <c r="B152" s="8"/>
      <c r="C152" s="8" t="s">
        <v>78</v>
      </c>
      <c r="D152" s="29">
        <v>1084.51</v>
      </c>
      <c r="E152" s="34">
        <v>0</v>
      </c>
      <c r="F152" s="28">
        <v>0</v>
      </c>
      <c r="G152" s="28">
        <v>0</v>
      </c>
      <c r="H152" s="28">
        <v>0</v>
      </c>
      <c r="I152" s="28">
        <v>0</v>
      </c>
      <c r="J152" s="29">
        <f>SUM(D152:I152)</f>
        <v>1084.51</v>
      </c>
      <c r="K152" s="8"/>
      <c r="L152" s="8"/>
    </row>
    <row r="153" spans="1:12">
      <c r="A153" s="8"/>
      <c r="B153" s="8"/>
      <c r="C153" s="8"/>
      <c r="D153" s="20"/>
      <c r="E153" s="35"/>
      <c r="F153" s="15"/>
      <c r="G153" s="15"/>
      <c r="H153" s="15"/>
      <c r="I153" s="15"/>
      <c r="J153" s="20"/>
      <c r="K153" s="8"/>
      <c r="L153" s="8"/>
    </row>
    <row r="154" spans="1:12" ht="15.75" thickBot="1">
      <c r="A154" s="8"/>
      <c r="B154" s="8"/>
      <c r="C154" s="8" t="s">
        <v>10</v>
      </c>
      <c r="D154" s="31">
        <f t="shared" ref="D154:I154" si="22">SUM(D149:D152)</f>
        <v>9866.74</v>
      </c>
      <c r="E154" s="44">
        <f>SUM(E149:E152)</f>
        <v>0</v>
      </c>
      <c r="F154" s="30">
        <f t="shared" si="22"/>
        <v>0</v>
      </c>
      <c r="G154" s="30">
        <f t="shared" si="22"/>
        <v>0</v>
      </c>
      <c r="H154" s="30">
        <f t="shared" si="22"/>
        <v>0</v>
      </c>
      <c r="I154" s="30">
        <f t="shared" si="22"/>
        <v>0</v>
      </c>
      <c r="J154" s="31">
        <f>SUM(D154:I154)</f>
        <v>9866.74</v>
      </c>
      <c r="K154" s="8"/>
      <c r="L154" s="8"/>
    </row>
    <row r="155" spans="1:12" ht="15.75" thickTop="1">
      <c r="A155" s="8"/>
      <c r="B155" s="8"/>
      <c r="C155" s="8"/>
      <c r="D155" s="20"/>
      <c r="E155" s="20"/>
      <c r="F155" s="15"/>
      <c r="G155" s="15"/>
      <c r="H155" s="15"/>
      <c r="I155" s="15"/>
      <c r="J155" s="20"/>
      <c r="K155" s="8"/>
      <c r="L155" s="8"/>
    </row>
    <row r="156" spans="1:12">
      <c r="A156" s="8"/>
      <c r="B156" s="8"/>
      <c r="C156" s="8"/>
      <c r="D156" s="20"/>
      <c r="E156" s="20"/>
      <c r="F156" s="15"/>
      <c r="G156" s="15"/>
      <c r="H156" s="15"/>
      <c r="I156" s="15"/>
      <c r="J156" s="20"/>
      <c r="K156" s="8"/>
      <c r="L156" s="8"/>
    </row>
    <row r="157" spans="1:12" ht="15.75" thickBot="1">
      <c r="A157" s="8">
        <v>44</v>
      </c>
      <c r="B157" s="8" t="s">
        <v>38</v>
      </c>
      <c r="C157" s="8" t="s">
        <v>12</v>
      </c>
      <c r="D157" s="29">
        <v>17045.45</v>
      </c>
      <c r="E157" s="29">
        <v>861.6</v>
      </c>
      <c r="F157" s="28">
        <v>279.2</v>
      </c>
      <c r="G157" s="28">
        <v>0</v>
      </c>
      <c r="H157" s="28">
        <v>0</v>
      </c>
      <c r="I157" s="28">
        <v>0</v>
      </c>
      <c r="J157" s="29">
        <f>SUM(D157:I157)</f>
        <v>18186.25</v>
      </c>
      <c r="K157" s="8"/>
      <c r="L157" s="8"/>
    </row>
    <row r="158" spans="1:12">
      <c r="A158" s="8"/>
      <c r="B158" s="8"/>
      <c r="C158" s="8"/>
      <c r="D158" s="20"/>
      <c r="E158" s="20"/>
      <c r="F158" s="15"/>
      <c r="G158" s="15"/>
      <c r="H158" s="15"/>
      <c r="I158" s="15"/>
      <c r="J158" s="20"/>
      <c r="K158" s="8"/>
      <c r="L158" s="8"/>
    </row>
    <row r="159" spans="1:12" ht="15.75" thickBot="1">
      <c r="A159" s="8"/>
      <c r="B159" s="8"/>
      <c r="C159" s="8" t="s">
        <v>10</v>
      </c>
      <c r="D159" s="31">
        <f t="shared" ref="D159:I159" si="23">SUM(D157:D158)</f>
        <v>17045.45</v>
      </c>
      <c r="E159" s="31">
        <f t="shared" si="23"/>
        <v>861.6</v>
      </c>
      <c r="F159" s="30">
        <f t="shared" si="23"/>
        <v>279.2</v>
      </c>
      <c r="G159" s="30">
        <f t="shared" si="23"/>
        <v>0</v>
      </c>
      <c r="H159" s="30">
        <f t="shared" si="23"/>
        <v>0</v>
      </c>
      <c r="I159" s="30">
        <f t="shared" si="23"/>
        <v>0</v>
      </c>
      <c r="J159" s="31">
        <f>SUM(D159:I159)</f>
        <v>18186.25</v>
      </c>
      <c r="K159" s="8"/>
      <c r="L159" s="8"/>
    </row>
    <row r="160" spans="1:12" ht="15.75" thickTop="1">
      <c r="A160" s="8"/>
      <c r="B160" s="8"/>
      <c r="C160" s="8"/>
      <c r="D160" s="20"/>
      <c r="E160" s="20"/>
      <c r="F160" s="15"/>
      <c r="G160" s="15" t="s">
        <v>70</v>
      </c>
      <c r="H160" s="15" t="s">
        <v>70</v>
      </c>
      <c r="I160" s="15" t="s">
        <v>70</v>
      </c>
      <c r="J160" s="20"/>
      <c r="K160" s="8"/>
      <c r="L160" s="8"/>
    </row>
    <row r="161" spans="1:12">
      <c r="A161" s="8"/>
      <c r="B161" s="8"/>
      <c r="C161" s="8"/>
      <c r="D161" s="20"/>
      <c r="E161" s="20"/>
      <c r="F161" s="15"/>
      <c r="G161" s="15"/>
      <c r="H161" s="15"/>
      <c r="I161" s="15"/>
      <c r="J161" s="20"/>
      <c r="K161" s="8"/>
      <c r="L161" s="8"/>
    </row>
    <row r="162" spans="1:12" ht="15.75" thickBot="1">
      <c r="A162" s="8">
        <v>45</v>
      </c>
      <c r="B162" s="8" t="s">
        <v>39</v>
      </c>
      <c r="C162" s="8" t="s">
        <v>12</v>
      </c>
      <c r="D162" s="29">
        <v>13431.07</v>
      </c>
      <c r="E162" s="29">
        <v>767.16</v>
      </c>
      <c r="F162" s="28">
        <v>365.31</v>
      </c>
      <c r="G162" s="28">
        <v>0</v>
      </c>
      <c r="H162" s="28">
        <v>0</v>
      </c>
      <c r="I162" s="28">
        <v>0</v>
      </c>
      <c r="J162" s="29">
        <f>SUM(D162:I162)</f>
        <v>14563.539999999999</v>
      </c>
      <c r="K162" s="8"/>
      <c r="L162" s="8"/>
    </row>
    <row r="163" spans="1:12">
      <c r="A163" s="8"/>
      <c r="B163" s="8"/>
      <c r="C163" s="8"/>
      <c r="D163" s="20"/>
      <c r="E163" s="20"/>
      <c r="F163" s="15"/>
      <c r="G163" s="15"/>
      <c r="H163" s="15"/>
      <c r="I163" s="15"/>
      <c r="J163" s="20"/>
      <c r="K163" s="8"/>
      <c r="L163" s="8"/>
    </row>
    <row r="164" spans="1:12" ht="15.75" thickBot="1">
      <c r="A164" s="8"/>
      <c r="B164" s="8"/>
      <c r="C164" s="8" t="s">
        <v>10</v>
      </c>
      <c r="D164" s="31">
        <f t="shared" ref="D164:I164" si="24">SUM(D162:D163)</f>
        <v>13431.07</v>
      </c>
      <c r="E164" s="31">
        <f t="shared" si="24"/>
        <v>767.16</v>
      </c>
      <c r="F164" s="30">
        <f t="shared" si="24"/>
        <v>365.31</v>
      </c>
      <c r="G164" s="30">
        <f t="shared" si="24"/>
        <v>0</v>
      </c>
      <c r="H164" s="30">
        <f t="shared" si="24"/>
        <v>0</v>
      </c>
      <c r="I164" s="30">
        <f t="shared" si="24"/>
        <v>0</v>
      </c>
      <c r="J164" s="31">
        <f>SUM(D164:I164)</f>
        <v>14563.539999999999</v>
      </c>
      <c r="K164" s="8"/>
      <c r="L164" s="8"/>
    </row>
    <row r="165" spans="1:12" ht="15.75" thickTop="1">
      <c r="A165" s="8"/>
      <c r="B165" s="8"/>
      <c r="C165" s="8"/>
      <c r="D165" s="20"/>
      <c r="E165" s="20"/>
      <c r="F165" s="15"/>
      <c r="G165" s="15"/>
      <c r="H165" s="15"/>
      <c r="I165" s="15"/>
      <c r="J165" s="20"/>
      <c r="K165" s="8"/>
      <c r="L165" s="8"/>
    </row>
    <row r="166" spans="1:12">
      <c r="A166" s="8"/>
      <c r="B166" s="8"/>
      <c r="C166" s="8"/>
      <c r="D166" s="20"/>
      <c r="E166" s="20"/>
      <c r="F166" s="15"/>
      <c r="G166" s="15"/>
      <c r="H166" s="15"/>
      <c r="I166" s="15"/>
      <c r="J166" s="20"/>
      <c r="K166" s="8"/>
      <c r="L166" s="8"/>
    </row>
    <row r="167" spans="1:12" ht="15.75" thickBot="1">
      <c r="A167" s="8">
        <v>46</v>
      </c>
      <c r="B167" s="8" t="s">
        <v>40</v>
      </c>
      <c r="C167" s="8" t="s">
        <v>12</v>
      </c>
      <c r="D167" s="29">
        <v>7797.4</v>
      </c>
      <c r="E167" s="34">
        <v>0</v>
      </c>
      <c r="F167" s="28">
        <v>0</v>
      </c>
      <c r="G167" s="28">
        <v>0</v>
      </c>
      <c r="H167" s="28">
        <v>0</v>
      </c>
      <c r="I167" s="28">
        <v>0</v>
      </c>
      <c r="J167" s="29">
        <f>SUM(D167:I167)</f>
        <v>7797.4</v>
      </c>
      <c r="K167" s="8"/>
      <c r="L167" s="8"/>
    </row>
    <row r="168" spans="1:12">
      <c r="A168" s="8"/>
      <c r="B168" s="8"/>
      <c r="C168" s="8"/>
      <c r="D168" s="20"/>
      <c r="E168" s="35"/>
      <c r="F168" s="15"/>
      <c r="G168" s="15"/>
      <c r="H168" s="15"/>
      <c r="I168" s="15"/>
      <c r="J168" s="20"/>
      <c r="K168" s="8"/>
      <c r="L168" s="8"/>
    </row>
    <row r="169" spans="1:12" ht="15.75" thickBot="1">
      <c r="A169" s="8"/>
      <c r="B169" s="8"/>
      <c r="C169" s="8" t="s">
        <v>10</v>
      </c>
      <c r="D169" s="31">
        <f t="shared" ref="D169:I169" si="25">SUM(D167:D168)</f>
        <v>7797.4</v>
      </c>
      <c r="E169" s="44">
        <f t="shared" si="25"/>
        <v>0</v>
      </c>
      <c r="F169" s="30">
        <f t="shared" si="25"/>
        <v>0</v>
      </c>
      <c r="G169" s="30">
        <f t="shared" si="25"/>
        <v>0</v>
      </c>
      <c r="H169" s="30">
        <f t="shared" si="25"/>
        <v>0</v>
      </c>
      <c r="I169" s="30">
        <f t="shared" si="25"/>
        <v>0</v>
      </c>
      <c r="J169" s="31">
        <f>SUM(D169:I169)</f>
        <v>7797.4</v>
      </c>
      <c r="K169" s="8"/>
      <c r="L169" s="8"/>
    </row>
    <row r="170" spans="1:12" ht="15.75" thickTop="1">
      <c r="A170" s="8"/>
      <c r="B170" s="8"/>
      <c r="C170" s="8"/>
      <c r="D170" s="20"/>
      <c r="E170" s="20"/>
      <c r="F170" s="15"/>
      <c r="G170" s="15"/>
      <c r="H170" s="15"/>
      <c r="I170" s="15"/>
      <c r="J170" s="20"/>
      <c r="K170" s="8"/>
      <c r="L170" s="8"/>
    </row>
    <row r="171" spans="1:12">
      <c r="A171" s="8"/>
      <c r="B171" s="8"/>
      <c r="C171" s="8"/>
      <c r="D171" s="20"/>
      <c r="E171" s="20"/>
      <c r="F171" s="15"/>
      <c r="G171" s="15"/>
      <c r="H171" s="15"/>
      <c r="I171" s="15"/>
      <c r="J171" s="20"/>
      <c r="K171" s="8"/>
      <c r="L171" s="8"/>
    </row>
    <row r="172" spans="1:12" ht="15.75" thickBot="1">
      <c r="A172" s="8">
        <v>47</v>
      </c>
      <c r="B172" s="8" t="s">
        <v>41</v>
      </c>
      <c r="C172" s="8" t="s">
        <v>12</v>
      </c>
      <c r="D172" s="29">
        <v>7565.42</v>
      </c>
      <c r="E172" s="29">
        <v>397.15</v>
      </c>
      <c r="F172" s="28">
        <v>9.75</v>
      </c>
      <c r="G172" s="28">
        <v>0</v>
      </c>
      <c r="H172" s="28">
        <v>0</v>
      </c>
      <c r="I172" s="28">
        <v>0</v>
      </c>
      <c r="J172" s="29">
        <f>SUM(D172:I172)</f>
        <v>7972.32</v>
      </c>
      <c r="K172" s="8"/>
      <c r="L172" s="8"/>
    </row>
    <row r="173" spans="1:12">
      <c r="A173" s="8"/>
      <c r="B173" s="8"/>
      <c r="C173" s="8"/>
      <c r="D173" s="20"/>
      <c r="E173" s="20"/>
      <c r="F173" s="15"/>
      <c r="G173" s="15"/>
      <c r="H173" s="15"/>
      <c r="I173" s="15"/>
      <c r="J173" s="20"/>
      <c r="K173" s="8"/>
      <c r="L173" s="8"/>
    </row>
    <row r="174" spans="1:12" ht="15.75" thickBot="1">
      <c r="A174" s="8"/>
      <c r="B174" s="8"/>
      <c r="C174" s="8" t="s">
        <v>10</v>
      </c>
      <c r="D174" s="31">
        <f t="shared" ref="D174:I174" si="26">SUM(D172:D173)</f>
        <v>7565.42</v>
      </c>
      <c r="E174" s="31">
        <f t="shared" si="26"/>
        <v>397.15</v>
      </c>
      <c r="F174" s="30">
        <f t="shared" si="26"/>
        <v>9.75</v>
      </c>
      <c r="G174" s="30">
        <f t="shared" si="26"/>
        <v>0</v>
      </c>
      <c r="H174" s="30">
        <f t="shared" si="26"/>
        <v>0</v>
      </c>
      <c r="I174" s="30">
        <f t="shared" si="26"/>
        <v>0</v>
      </c>
      <c r="J174" s="31">
        <f>SUM(D174:I174)</f>
        <v>7972.32</v>
      </c>
      <c r="K174" s="8"/>
      <c r="L174" s="8"/>
    </row>
    <row r="175" spans="1:12" ht="15.75" thickTop="1">
      <c r="A175" s="8"/>
      <c r="B175" s="8"/>
      <c r="C175" s="8"/>
      <c r="D175" s="20"/>
      <c r="E175" s="20"/>
      <c r="F175" s="15"/>
      <c r="G175" s="15"/>
      <c r="H175" s="15"/>
      <c r="I175" s="15"/>
      <c r="J175" s="20"/>
      <c r="K175" s="8"/>
      <c r="L175" s="8"/>
    </row>
    <row r="176" spans="1:12">
      <c r="A176" s="8"/>
      <c r="B176" s="8"/>
      <c r="C176" s="8"/>
      <c r="D176" s="20"/>
      <c r="E176" s="20"/>
      <c r="F176" s="15"/>
      <c r="G176" s="15"/>
      <c r="H176" s="15"/>
      <c r="I176" s="15"/>
      <c r="J176" s="20"/>
      <c r="K176" s="8"/>
      <c r="L176" s="8"/>
    </row>
    <row r="177" spans="1:12" ht="15.75" thickBot="1">
      <c r="A177" s="8">
        <v>48</v>
      </c>
      <c r="B177" s="8" t="s">
        <v>42</v>
      </c>
      <c r="C177" s="8" t="s">
        <v>12</v>
      </c>
      <c r="D177" s="29">
        <v>10229.42</v>
      </c>
      <c r="E177" s="29">
        <v>573.54</v>
      </c>
      <c r="F177" s="28">
        <v>190.26</v>
      </c>
      <c r="G177" s="28">
        <v>0</v>
      </c>
      <c r="H177" s="28">
        <v>0</v>
      </c>
      <c r="I177" s="28">
        <v>0</v>
      </c>
      <c r="J177" s="29">
        <f>SUM(D177:I177)</f>
        <v>10993.22</v>
      </c>
      <c r="K177" s="8"/>
      <c r="L177" s="8"/>
    </row>
    <row r="178" spans="1:12">
      <c r="A178" s="8"/>
      <c r="B178" s="8"/>
      <c r="C178" s="8"/>
      <c r="D178" s="20"/>
      <c r="E178" s="20"/>
      <c r="F178" s="15"/>
      <c r="G178" s="15"/>
      <c r="H178" s="15"/>
      <c r="I178" s="15"/>
      <c r="J178" s="20"/>
      <c r="K178" s="8"/>
      <c r="L178" s="8"/>
    </row>
    <row r="179" spans="1:12" ht="15.75" thickBot="1">
      <c r="A179" s="8"/>
      <c r="B179" s="8"/>
      <c r="C179" s="8"/>
      <c r="D179" s="31">
        <f t="shared" ref="D179:I179" si="27">SUM(D177:D178)</f>
        <v>10229.42</v>
      </c>
      <c r="E179" s="31">
        <f t="shared" si="27"/>
        <v>573.54</v>
      </c>
      <c r="F179" s="30">
        <f t="shared" si="27"/>
        <v>190.26</v>
      </c>
      <c r="G179" s="30">
        <f t="shared" si="27"/>
        <v>0</v>
      </c>
      <c r="H179" s="30">
        <f t="shared" si="27"/>
        <v>0</v>
      </c>
      <c r="I179" s="30">
        <f t="shared" si="27"/>
        <v>0</v>
      </c>
      <c r="J179" s="31">
        <f>SUM(D179:I179)</f>
        <v>10993.22</v>
      </c>
      <c r="K179" s="8"/>
      <c r="L179" s="8"/>
    </row>
    <row r="180" spans="1:12" ht="15.75" thickTop="1">
      <c r="A180" s="8"/>
      <c r="B180" s="8"/>
      <c r="C180" s="8"/>
      <c r="D180" s="20"/>
      <c r="E180" s="20"/>
      <c r="F180" s="15"/>
      <c r="G180" s="15"/>
      <c r="H180" s="15"/>
      <c r="I180" s="15"/>
      <c r="J180" s="20"/>
      <c r="K180" s="8"/>
      <c r="L180" s="8"/>
    </row>
    <row r="181" spans="1:12">
      <c r="A181" s="8"/>
      <c r="B181" s="8"/>
      <c r="C181" s="8"/>
      <c r="D181" s="20"/>
      <c r="E181" s="20"/>
      <c r="F181" s="15"/>
      <c r="G181" s="15"/>
      <c r="H181" s="15"/>
      <c r="I181" s="15"/>
      <c r="J181" s="20"/>
      <c r="K181" s="8"/>
      <c r="L181" s="8"/>
    </row>
    <row r="182" spans="1:12" ht="15.75" thickBot="1">
      <c r="A182" s="8">
        <v>49</v>
      </c>
      <c r="B182" s="8" t="s">
        <v>43</v>
      </c>
      <c r="C182" s="8" t="s">
        <v>12</v>
      </c>
      <c r="D182" s="29">
        <v>12850.18</v>
      </c>
      <c r="E182" s="29">
        <v>109.09</v>
      </c>
      <c r="F182" s="28">
        <v>0</v>
      </c>
      <c r="G182" s="28">
        <v>0</v>
      </c>
      <c r="H182" s="28">
        <v>0</v>
      </c>
      <c r="I182" s="28">
        <v>0</v>
      </c>
      <c r="J182" s="29">
        <f>SUM(D182:I182)</f>
        <v>12959.27</v>
      </c>
      <c r="K182" s="8"/>
      <c r="L182" s="8"/>
    </row>
    <row r="183" spans="1:12">
      <c r="A183" s="8"/>
      <c r="B183" s="8"/>
      <c r="C183" s="8"/>
      <c r="D183" s="20"/>
      <c r="E183" s="20"/>
      <c r="F183" s="15"/>
      <c r="G183" s="15"/>
      <c r="H183" s="15"/>
      <c r="I183" s="15"/>
      <c r="J183" s="20"/>
      <c r="K183" s="8"/>
      <c r="L183" s="8"/>
    </row>
    <row r="184" spans="1:12" ht="15.75" thickBot="1">
      <c r="A184" s="8"/>
      <c r="B184" s="8"/>
      <c r="C184" s="8" t="s">
        <v>10</v>
      </c>
      <c r="D184" s="31">
        <f t="shared" ref="D184:I184" si="28">SUM(D182:D183)</f>
        <v>12850.18</v>
      </c>
      <c r="E184" s="31">
        <f t="shared" si="28"/>
        <v>109.09</v>
      </c>
      <c r="F184" s="30">
        <f t="shared" si="28"/>
        <v>0</v>
      </c>
      <c r="G184" s="30">
        <f t="shared" si="28"/>
        <v>0</v>
      </c>
      <c r="H184" s="30">
        <f t="shared" si="28"/>
        <v>0</v>
      </c>
      <c r="I184" s="30">
        <f t="shared" si="28"/>
        <v>0</v>
      </c>
      <c r="J184" s="31">
        <f>SUM(D184:I184)</f>
        <v>12959.27</v>
      </c>
      <c r="K184" s="8"/>
      <c r="L184" s="8"/>
    </row>
    <row r="185" spans="1:12" ht="15.75" thickTop="1">
      <c r="A185" s="8"/>
      <c r="B185" s="8"/>
      <c r="C185" s="8"/>
      <c r="D185" s="20"/>
      <c r="E185" s="20"/>
      <c r="F185" s="15"/>
      <c r="G185" s="15"/>
      <c r="H185" s="15"/>
      <c r="I185" s="15"/>
      <c r="J185" s="20"/>
      <c r="K185" s="8"/>
      <c r="L185" s="8"/>
    </row>
    <row r="186" spans="1:12">
      <c r="A186" s="8"/>
      <c r="B186" s="8"/>
      <c r="C186" s="8"/>
      <c r="D186" s="20"/>
      <c r="E186" s="20"/>
      <c r="F186" s="15"/>
      <c r="G186" s="15"/>
      <c r="H186" s="15"/>
      <c r="I186" s="15"/>
      <c r="J186" s="20"/>
      <c r="K186" s="8"/>
      <c r="L186" s="8"/>
    </row>
    <row r="187" spans="1:12">
      <c r="A187" s="8">
        <v>50</v>
      </c>
      <c r="B187" s="8" t="s">
        <v>44</v>
      </c>
      <c r="C187" s="8" t="s">
        <v>12</v>
      </c>
      <c r="D187" s="20">
        <v>4011.97</v>
      </c>
      <c r="E187" s="20">
        <v>121.97</v>
      </c>
      <c r="F187" s="15">
        <v>92.71</v>
      </c>
      <c r="G187" s="15">
        <v>0</v>
      </c>
      <c r="H187" s="15">
        <v>0</v>
      </c>
      <c r="I187" s="15">
        <v>0</v>
      </c>
      <c r="J187" s="20">
        <f>SUM(D187:I187)</f>
        <v>4226.6499999999996</v>
      </c>
      <c r="K187" s="8"/>
      <c r="L187" s="8"/>
    </row>
    <row r="188" spans="1:12" ht="15.75" thickBot="1">
      <c r="A188" s="8"/>
      <c r="B188" s="8"/>
      <c r="C188" s="8" t="s">
        <v>13</v>
      </c>
      <c r="D188" s="29">
        <v>69.31</v>
      </c>
      <c r="E188" s="29">
        <v>2.38</v>
      </c>
      <c r="F188" s="28">
        <v>2.2999999999999998</v>
      </c>
      <c r="G188" s="28">
        <v>0</v>
      </c>
      <c r="H188" s="28">
        <v>0</v>
      </c>
      <c r="I188" s="28">
        <v>0</v>
      </c>
      <c r="J188" s="29">
        <f>SUM(D188:I188)</f>
        <v>73.989999999999995</v>
      </c>
      <c r="K188" s="8"/>
      <c r="L188" s="8"/>
    </row>
    <row r="189" spans="1:12">
      <c r="A189" s="8"/>
      <c r="B189" s="8"/>
      <c r="C189" s="8"/>
      <c r="D189" s="20"/>
      <c r="E189" s="20"/>
      <c r="F189" s="15"/>
      <c r="G189" s="15"/>
      <c r="H189" s="15"/>
      <c r="I189" s="15"/>
      <c r="J189" s="20"/>
      <c r="K189" s="8"/>
      <c r="L189" s="8"/>
    </row>
    <row r="190" spans="1:12" ht="15.75" thickBot="1">
      <c r="A190" s="8"/>
      <c r="B190" s="8"/>
      <c r="C190" s="8" t="s">
        <v>10</v>
      </c>
      <c r="D190" s="31">
        <f t="shared" ref="D190:I190" si="29">SUM(D187:D188)</f>
        <v>4081.2799999999997</v>
      </c>
      <c r="E190" s="31">
        <f t="shared" si="29"/>
        <v>124.35</v>
      </c>
      <c r="F190" s="30">
        <f t="shared" si="29"/>
        <v>95.009999999999991</v>
      </c>
      <c r="G190" s="30">
        <f t="shared" si="29"/>
        <v>0</v>
      </c>
      <c r="H190" s="30">
        <f t="shared" si="29"/>
        <v>0</v>
      </c>
      <c r="I190" s="30">
        <f t="shared" si="29"/>
        <v>0</v>
      </c>
      <c r="J190" s="31">
        <f>SUM(D190:I190)</f>
        <v>4300.6400000000003</v>
      </c>
      <c r="K190" s="8"/>
      <c r="L190" s="8"/>
    </row>
    <row r="191" spans="1:12" ht="15.75" thickTop="1">
      <c r="A191" s="8"/>
      <c r="B191" s="8"/>
      <c r="C191" s="8"/>
      <c r="D191" s="20"/>
      <c r="E191" s="20"/>
      <c r="F191" s="15"/>
      <c r="G191" s="15"/>
      <c r="H191" s="15"/>
      <c r="I191" s="15"/>
      <c r="J191" s="20"/>
      <c r="K191" s="8"/>
      <c r="L191" s="8"/>
    </row>
    <row r="192" spans="1:12">
      <c r="A192" s="8"/>
      <c r="B192" s="8"/>
      <c r="C192" s="8"/>
      <c r="D192" s="20"/>
      <c r="E192" s="20"/>
      <c r="F192" s="15"/>
      <c r="G192" s="15"/>
      <c r="H192" s="15"/>
      <c r="I192" s="15"/>
      <c r="J192" s="20"/>
      <c r="K192" s="8"/>
      <c r="L192" s="8"/>
    </row>
    <row r="193" spans="1:12">
      <c r="A193" s="8">
        <v>51</v>
      </c>
      <c r="B193" s="8" t="s">
        <v>45</v>
      </c>
      <c r="C193" s="8" t="s">
        <v>12</v>
      </c>
      <c r="D193" s="20">
        <v>10677.35</v>
      </c>
      <c r="E193" s="20">
        <v>69.930000000000007</v>
      </c>
      <c r="F193" s="15">
        <v>69.17</v>
      </c>
      <c r="G193" s="15">
        <v>0</v>
      </c>
      <c r="H193" s="15">
        <v>0</v>
      </c>
      <c r="I193" s="15">
        <v>0</v>
      </c>
      <c r="J193" s="20">
        <f>SUM(D193:I193)</f>
        <v>10816.45</v>
      </c>
      <c r="K193" s="8"/>
      <c r="L193" s="8"/>
    </row>
    <row r="194" spans="1:12" hidden="1">
      <c r="A194" s="8"/>
      <c r="B194" s="8"/>
      <c r="C194" s="8" t="s">
        <v>13</v>
      </c>
      <c r="D194" s="20"/>
      <c r="E194" s="20"/>
      <c r="F194" s="15"/>
      <c r="G194" s="15"/>
      <c r="H194" s="15"/>
      <c r="I194" s="15"/>
      <c r="J194" s="20">
        <f>SUM(D194:I194)</f>
        <v>0</v>
      </c>
      <c r="K194" s="8"/>
      <c r="L194" s="8"/>
    </row>
    <row r="195" spans="1:12" ht="15.75" thickBot="1">
      <c r="A195" s="8"/>
      <c r="B195" s="8"/>
      <c r="C195" s="8" t="s">
        <v>46</v>
      </c>
      <c r="D195" s="29">
        <v>213.64</v>
      </c>
      <c r="E195" s="29">
        <v>1.5</v>
      </c>
      <c r="F195" s="28">
        <v>1.44</v>
      </c>
      <c r="G195" s="28">
        <v>0</v>
      </c>
      <c r="H195" s="28">
        <v>0</v>
      </c>
      <c r="I195" s="28">
        <v>0</v>
      </c>
      <c r="J195" s="29">
        <f>SUM(D195:I195)</f>
        <v>216.57999999999998</v>
      </c>
      <c r="K195" s="8"/>
      <c r="L195" s="8"/>
    </row>
    <row r="196" spans="1:12">
      <c r="A196" s="8"/>
      <c r="B196" s="8"/>
      <c r="C196" s="8"/>
      <c r="D196" s="20"/>
      <c r="E196" s="20"/>
      <c r="F196" s="15"/>
      <c r="G196" s="15"/>
      <c r="H196" s="15"/>
      <c r="I196" s="15"/>
      <c r="J196" s="20"/>
      <c r="K196" s="8"/>
      <c r="L196" s="8"/>
    </row>
    <row r="197" spans="1:12" ht="15.75" thickBot="1">
      <c r="A197" s="8"/>
      <c r="B197" s="8"/>
      <c r="C197" s="8" t="s">
        <v>10</v>
      </c>
      <c r="D197" s="31">
        <f t="shared" ref="D197:I197" si="30">SUM(D193:D195)</f>
        <v>10890.99</v>
      </c>
      <c r="E197" s="31">
        <f t="shared" si="30"/>
        <v>71.430000000000007</v>
      </c>
      <c r="F197" s="30">
        <f t="shared" si="30"/>
        <v>70.61</v>
      </c>
      <c r="G197" s="30">
        <f t="shared" si="30"/>
        <v>0</v>
      </c>
      <c r="H197" s="30">
        <f t="shared" si="30"/>
        <v>0</v>
      </c>
      <c r="I197" s="30">
        <f t="shared" si="30"/>
        <v>0</v>
      </c>
      <c r="J197" s="31">
        <f>SUM(D197:I197)</f>
        <v>11033.03</v>
      </c>
      <c r="K197" s="8"/>
      <c r="L197" s="8"/>
    </row>
    <row r="198" spans="1:12" ht="15.75" thickTop="1">
      <c r="A198" s="8"/>
      <c r="B198" s="8"/>
      <c r="C198" s="8"/>
      <c r="D198" s="20"/>
      <c r="E198" s="20"/>
      <c r="F198" s="15"/>
      <c r="G198" s="15"/>
      <c r="H198" s="15"/>
      <c r="I198" s="15"/>
      <c r="J198" s="20"/>
      <c r="K198" s="8"/>
      <c r="L198" s="8"/>
    </row>
    <row r="199" spans="1:12">
      <c r="A199" s="8"/>
      <c r="B199" s="8"/>
      <c r="C199" s="8"/>
      <c r="D199" s="20"/>
      <c r="E199" s="20"/>
      <c r="F199" s="15"/>
      <c r="G199" s="15"/>
      <c r="H199" s="15"/>
      <c r="I199" s="15"/>
      <c r="J199" s="20"/>
      <c r="K199" s="8"/>
      <c r="L199" s="8"/>
    </row>
    <row r="200" spans="1:12">
      <c r="A200" s="8">
        <v>52</v>
      </c>
      <c r="B200" s="8" t="s">
        <v>47</v>
      </c>
      <c r="C200" s="8" t="s">
        <v>12</v>
      </c>
      <c r="D200" s="25">
        <v>9786.92</v>
      </c>
      <c r="E200" s="45">
        <v>0</v>
      </c>
      <c r="F200" s="24">
        <v>0</v>
      </c>
      <c r="G200" s="24">
        <v>0</v>
      </c>
      <c r="H200" s="24">
        <v>0</v>
      </c>
      <c r="I200" s="24">
        <v>0</v>
      </c>
      <c r="J200" s="25">
        <f>SUM(D200:I200)</f>
        <v>9786.92</v>
      </c>
      <c r="K200" s="8"/>
      <c r="L200" s="8"/>
    </row>
    <row r="201" spans="1:12" ht="15.75" hidden="1" thickBot="1">
      <c r="A201" s="8"/>
      <c r="B201" s="8"/>
      <c r="C201" s="8" t="s">
        <v>13</v>
      </c>
      <c r="D201" s="29"/>
      <c r="E201" s="34"/>
      <c r="F201" s="28"/>
      <c r="G201" s="28"/>
      <c r="H201" s="28"/>
      <c r="I201" s="28"/>
      <c r="J201" s="34">
        <v>0</v>
      </c>
      <c r="K201" s="8"/>
      <c r="L201" s="8"/>
    </row>
    <row r="202" spans="1:12">
      <c r="A202" s="8"/>
      <c r="B202" s="8"/>
      <c r="C202" s="8"/>
      <c r="D202" s="20"/>
      <c r="E202" s="35"/>
      <c r="F202" s="15"/>
      <c r="G202" s="15"/>
      <c r="H202" s="15"/>
      <c r="I202" s="15"/>
      <c r="J202" s="20"/>
      <c r="K202" s="8"/>
      <c r="L202" s="8"/>
    </row>
    <row r="203" spans="1:12" ht="15.75" thickBot="1">
      <c r="A203" s="8"/>
      <c r="B203" s="8"/>
      <c r="C203" s="8" t="s">
        <v>10</v>
      </c>
      <c r="D203" s="31">
        <f t="shared" ref="D203:I203" si="31">SUM(D200:D201)</f>
        <v>9786.92</v>
      </c>
      <c r="E203" s="44">
        <f t="shared" si="31"/>
        <v>0</v>
      </c>
      <c r="F203" s="30">
        <f t="shared" si="31"/>
        <v>0</v>
      </c>
      <c r="G203" s="30">
        <f t="shared" si="31"/>
        <v>0</v>
      </c>
      <c r="H203" s="30">
        <f t="shared" si="31"/>
        <v>0</v>
      </c>
      <c r="I203" s="30">
        <f t="shared" si="31"/>
        <v>0</v>
      </c>
      <c r="J203" s="31">
        <f>SUM(D203:I203)</f>
        <v>9786.92</v>
      </c>
      <c r="K203" s="8"/>
      <c r="L203" s="8"/>
    </row>
    <row r="204" spans="1:12" ht="15.75" thickTop="1">
      <c r="A204" s="8"/>
      <c r="B204" s="8"/>
      <c r="C204" s="8"/>
      <c r="D204" s="20"/>
      <c r="E204" s="20"/>
      <c r="F204" s="15"/>
      <c r="G204" s="15"/>
      <c r="H204" s="15"/>
      <c r="I204" s="15"/>
      <c r="J204" s="20"/>
      <c r="K204" s="8"/>
      <c r="L204" s="8"/>
    </row>
    <row r="205" spans="1:12">
      <c r="A205" s="8"/>
      <c r="B205" s="8"/>
      <c r="C205" s="8"/>
      <c r="D205" s="20"/>
      <c r="E205" s="20"/>
      <c r="F205" s="15"/>
      <c r="G205" s="15"/>
      <c r="H205" s="15"/>
      <c r="I205" s="15"/>
      <c r="J205" s="20"/>
      <c r="K205" s="8"/>
      <c r="L205" s="8"/>
    </row>
    <row r="206" spans="1:12">
      <c r="A206" s="8">
        <v>53</v>
      </c>
      <c r="B206" s="8" t="s">
        <v>48</v>
      </c>
      <c r="C206" s="8" t="s">
        <v>12</v>
      </c>
      <c r="D206" s="20">
        <v>16781</v>
      </c>
      <c r="E206" s="20">
        <v>58.38</v>
      </c>
      <c r="F206" s="15">
        <v>58.12</v>
      </c>
      <c r="G206" s="15">
        <v>0</v>
      </c>
      <c r="H206" s="15">
        <v>0</v>
      </c>
      <c r="I206" s="15">
        <v>0</v>
      </c>
      <c r="J206" s="20">
        <f>SUM(D206:I206)</f>
        <v>16897.5</v>
      </c>
      <c r="K206" s="8"/>
      <c r="L206" s="8"/>
    </row>
    <row r="207" spans="1:12">
      <c r="A207" s="8"/>
      <c r="B207" s="8"/>
      <c r="C207" s="8" t="s">
        <v>35</v>
      </c>
      <c r="D207" s="20">
        <v>932.5</v>
      </c>
      <c r="E207" s="20">
        <v>3.44</v>
      </c>
      <c r="F207" s="15">
        <v>3.71</v>
      </c>
      <c r="G207" s="15">
        <v>0</v>
      </c>
      <c r="H207" s="15">
        <v>0</v>
      </c>
      <c r="I207" s="15">
        <v>0</v>
      </c>
      <c r="J207" s="20">
        <f>SUM(D207:I207)</f>
        <v>939.65000000000009</v>
      </c>
      <c r="K207" s="8"/>
      <c r="L207" s="8"/>
    </row>
    <row r="208" spans="1:12">
      <c r="A208" s="8"/>
      <c r="B208" s="8"/>
      <c r="C208" s="8" t="s">
        <v>97</v>
      </c>
      <c r="D208" s="20">
        <v>438.3</v>
      </c>
      <c r="E208" s="20">
        <v>2.15</v>
      </c>
      <c r="F208" s="15">
        <v>1.79</v>
      </c>
      <c r="G208" s="15">
        <v>0</v>
      </c>
      <c r="H208" s="15">
        <v>0</v>
      </c>
      <c r="I208" s="15">
        <v>0</v>
      </c>
      <c r="J208" s="20">
        <f>SUM(D208:I208)</f>
        <v>442.24</v>
      </c>
      <c r="K208" s="8"/>
      <c r="L208" s="8"/>
    </row>
    <row r="209" spans="1:12" ht="15.75" thickBot="1">
      <c r="A209" s="8"/>
      <c r="B209" s="8"/>
      <c r="C209" s="8" t="s">
        <v>98</v>
      </c>
      <c r="D209" s="29">
        <v>2797.27</v>
      </c>
      <c r="E209" s="29">
        <v>9.94</v>
      </c>
      <c r="F209" s="28">
        <v>10.29</v>
      </c>
      <c r="G209" s="28">
        <v>0</v>
      </c>
      <c r="H209" s="28">
        <v>0</v>
      </c>
      <c r="I209" s="28">
        <v>0</v>
      </c>
      <c r="J209" s="29">
        <f>SUM(D209:I209)</f>
        <v>2817.5</v>
      </c>
      <c r="K209" s="8"/>
      <c r="L209" s="8"/>
    </row>
    <row r="210" spans="1:12">
      <c r="A210" s="8"/>
      <c r="B210" s="8"/>
      <c r="C210" s="8"/>
      <c r="D210" s="20"/>
      <c r="E210" s="20"/>
      <c r="F210" s="15"/>
      <c r="G210" s="15"/>
      <c r="H210" s="15"/>
      <c r="I210" s="15"/>
      <c r="J210" s="20"/>
      <c r="K210" s="8"/>
      <c r="L210" s="8"/>
    </row>
    <row r="211" spans="1:12" ht="15.75" thickBot="1">
      <c r="A211" s="8"/>
      <c r="B211" s="8"/>
      <c r="C211" s="8" t="s">
        <v>10</v>
      </c>
      <c r="D211" s="31">
        <f>SUM(D206:D210)</f>
        <v>20949.07</v>
      </c>
      <c r="E211" s="31">
        <f t="shared" ref="E211:J211" si="32">SUM(E206:E210)</f>
        <v>73.91</v>
      </c>
      <c r="F211" s="30">
        <f t="shared" si="32"/>
        <v>73.91</v>
      </c>
      <c r="G211" s="30">
        <f t="shared" si="32"/>
        <v>0</v>
      </c>
      <c r="H211" s="30">
        <f t="shared" si="32"/>
        <v>0</v>
      </c>
      <c r="I211" s="30">
        <f t="shared" si="32"/>
        <v>0</v>
      </c>
      <c r="J211" s="30">
        <f t="shared" si="32"/>
        <v>21096.890000000003</v>
      </c>
      <c r="K211" s="8"/>
      <c r="L211" s="8"/>
    </row>
    <row r="212" spans="1:12" ht="15.75" thickTop="1">
      <c r="A212" s="8"/>
      <c r="B212" s="8"/>
      <c r="C212" s="8"/>
      <c r="D212" s="20"/>
      <c r="E212" s="20"/>
      <c r="F212" s="15"/>
      <c r="G212" s="15"/>
      <c r="H212" s="15"/>
      <c r="I212" s="15"/>
      <c r="J212" s="20"/>
      <c r="K212" s="8"/>
      <c r="L212" s="8"/>
    </row>
    <row r="213" spans="1:12">
      <c r="A213" s="8"/>
      <c r="B213" s="8"/>
      <c r="C213" s="8"/>
      <c r="D213" s="20"/>
      <c r="E213" s="20"/>
      <c r="F213" s="15"/>
      <c r="G213" s="15"/>
      <c r="H213" s="15"/>
      <c r="I213" s="15"/>
      <c r="J213" s="20"/>
      <c r="K213" s="8"/>
      <c r="L213" s="8"/>
    </row>
    <row r="214" spans="1:12">
      <c r="A214" s="8">
        <v>54</v>
      </c>
      <c r="B214" s="8" t="s">
        <v>49</v>
      </c>
      <c r="C214" s="8" t="s">
        <v>12</v>
      </c>
      <c r="D214" s="25">
        <v>7817.97</v>
      </c>
      <c r="E214" s="25">
        <v>20.079999999999998</v>
      </c>
      <c r="F214" s="24">
        <v>0</v>
      </c>
      <c r="G214" s="24">
        <v>0</v>
      </c>
      <c r="H214" s="24">
        <v>0</v>
      </c>
      <c r="I214" s="24">
        <v>0</v>
      </c>
      <c r="J214" s="25">
        <f>SUM(D214:I214)</f>
        <v>7838.05</v>
      </c>
      <c r="K214" s="8"/>
      <c r="L214" s="8"/>
    </row>
    <row r="215" spans="1:12" ht="15.75" hidden="1" thickBot="1">
      <c r="A215" s="8"/>
      <c r="B215" s="8"/>
      <c r="C215" s="8" t="s">
        <v>104</v>
      </c>
      <c r="D215" s="29"/>
      <c r="E215" s="29"/>
      <c r="F215" s="28"/>
      <c r="G215" s="28"/>
      <c r="H215" s="28"/>
      <c r="I215" s="28"/>
      <c r="J215" s="29">
        <f>SUM(D215:I215)</f>
        <v>0</v>
      </c>
      <c r="K215" s="8"/>
      <c r="L215" s="8"/>
    </row>
    <row r="216" spans="1:12">
      <c r="A216" s="8"/>
      <c r="B216" s="8"/>
      <c r="C216" s="8"/>
      <c r="D216" s="20"/>
      <c r="E216" s="20"/>
      <c r="F216" s="15"/>
      <c r="G216" s="15"/>
      <c r="H216" s="15"/>
      <c r="I216" s="15"/>
      <c r="J216" s="20"/>
      <c r="K216" s="8"/>
      <c r="L216" s="8"/>
    </row>
    <row r="217" spans="1:12" ht="15.75" thickBot="1">
      <c r="A217" s="8"/>
      <c r="B217" s="8"/>
      <c r="C217" s="8" t="s">
        <v>10</v>
      </c>
      <c r="D217" s="31">
        <f t="shared" ref="D217:I217" si="33">SUM(D214:D216)</f>
        <v>7817.97</v>
      </c>
      <c r="E217" s="31">
        <f t="shared" si="33"/>
        <v>20.079999999999998</v>
      </c>
      <c r="F217" s="30">
        <f t="shared" si="33"/>
        <v>0</v>
      </c>
      <c r="G217" s="30">
        <f t="shared" si="33"/>
        <v>0</v>
      </c>
      <c r="H217" s="30">
        <f t="shared" si="33"/>
        <v>0</v>
      </c>
      <c r="I217" s="30">
        <f t="shared" si="33"/>
        <v>0</v>
      </c>
      <c r="J217" s="31">
        <f>SUM(D217:I217)</f>
        <v>7838.05</v>
      </c>
      <c r="K217" s="8"/>
      <c r="L217" s="8"/>
    </row>
    <row r="218" spans="1:12" ht="15.75" thickTop="1">
      <c r="A218" s="8"/>
      <c r="B218" s="8"/>
      <c r="C218" s="8"/>
      <c r="D218" s="20"/>
      <c r="E218" s="20"/>
      <c r="F218" s="15"/>
      <c r="G218" s="15"/>
      <c r="H218" s="15"/>
      <c r="I218" s="15"/>
      <c r="J218" s="20"/>
      <c r="K218" s="8"/>
      <c r="L218" s="8"/>
    </row>
    <row r="219" spans="1:12">
      <c r="A219" s="8"/>
      <c r="B219" s="8"/>
      <c r="C219" s="8"/>
      <c r="D219" s="20"/>
      <c r="E219" s="20"/>
      <c r="F219" s="15"/>
      <c r="G219" s="15"/>
      <c r="H219" s="15"/>
      <c r="I219" s="15"/>
      <c r="J219" s="20"/>
      <c r="K219" s="8"/>
      <c r="L219" s="8"/>
    </row>
    <row r="220" spans="1:12">
      <c r="A220" s="8">
        <v>55</v>
      </c>
      <c r="B220" s="8" t="s">
        <v>50</v>
      </c>
      <c r="C220" s="8" t="s">
        <v>12</v>
      </c>
      <c r="D220" s="20">
        <v>19019.45</v>
      </c>
      <c r="E220" s="20">
        <v>162.01</v>
      </c>
      <c r="F220" s="15">
        <v>0</v>
      </c>
      <c r="G220" s="15">
        <v>0</v>
      </c>
      <c r="H220" s="15">
        <v>0</v>
      </c>
      <c r="I220" s="15">
        <v>0</v>
      </c>
      <c r="J220" s="20">
        <f>SUM(D220:I220)</f>
        <v>19181.46</v>
      </c>
      <c r="K220" s="8"/>
      <c r="L220" s="8"/>
    </row>
    <row r="221" spans="1:12" ht="15.75" thickBot="1">
      <c r="A221" s="8"/>
      <c r="B221" s="8"/>
      <c r="C221" s="8" t="s">
        <v>13</v>
      </c>
      <c r="D221" s="29">
        <v>496.37</v>
      </c>
      <c r="E221" s="29">
        <v>4.16</v>
      </c>
      <c r="F221" s="28">
        <v>0</v>
      </c>
      <c r="G221" s="28">
        <v>0</v>
      </c>
      <c r="H221" s="28">
        <v>0</v>
      </c>
      <c r="I221" s="28">
        <v>0</v>
      </c>
      <c r="J221" s="29">
        <f>SUM(D221:I221)</f>
        <v>500.53000000000003</v>
      </c>
      <c r="K221" s="8"/>
      <c r="L221" s="8"/>
    </row>
    <row r="222" spans="1:12">
      <c r="A222" s="8"/>
      <c r="B222" s="8"/>
      <c r="C222" s="8"/>
      <c r="D222" s="20"/>
      <c r="E222" s="20"/>
      <c r="F222" s="15"/>
      <c r="G222" s="15"/>
      <c r="H222" s="15"/>
      <c r="I222" s="15"/>
      <c r="J222" s="20"/>
      <c r="K222" s="8"/>
      <c r="L222" s="8"/>
    </row>
    <row r="223" spans="1:12" ht="15.75" thickBot="1">
      <c r="A223" s="8"/>
      <c r="B223" s="8"/>
      <c r="C223" s="8" t="s">
        <v>10</v>
      </c>
      <c r="D223" s="31">
        <f t="shared" ref="D223:I223" si="34">SUM(D220:D221)</f>
        <v>19515.82</v>
      </c>
      <c r="E223" s="31">
        <f t="shared" si="34"/>
        <v>166.17</v>
      </c>
      <c r="F223" s="30">
        <f t="shared" si="34"/>
        <v>0</v>
      </c>
      <c r="G223" s="30">
        <f t="shared" si="34"/>
        <v>0</v>
      </c>
      <c r="H223" s="30">
        <f t="shared" si="34"/>
        <v>0</v>
      </c>
      <c r="I223" s="30">
        <f t="shared" si="34"/>
        <v>0</v>
      </c>
      <c r="J223" s="31">
        <f>SUM(D223:I223)</f>
        <v>19681.989999999998</v>
      </c>
      <c r="K223" s="8"/>
      <c r="L223" s="8"/>
    </row>
    <row r="224" spans="1:12" ht="15.75" thickTop="1">
      <c r="A224" s="8"/>
      <c r="B224" s="8"/>
      <c r="C224" s="8"/>
      <c r="D224" s="20"/>
      <c r="E224" s="20"/>
      <c r="F224" s="15"/>
      <c r="G224" s="15"/>
      <c r="H224" s="15"/>
      <c r="I224" s="15"/>
      <c r="J224" s="20"/>
      <c r="K224" s="8"/>
      <c r="L224" s="8"/>
    </row>
    <row r="225" spans="1:12">
      <c r="A225" s="8"/>
      <c r="B225" s="8"/>
      <c r="C225" s="8"/>
      <c r="D225" s="20"/>
      <c r="E225" s="20"/>
      <c r="F225" s="15"/>
      <c r="G225" s="15"/>
      <c r="H225" s="15"/>
      <c r="I225" s="15"/>
      <c r="J225" s="20"/>
      <c r="K225" s="8"/>
      <c r="L225" s="8"/>
    </row>
    <row r="226" spans="1:12">
      <c r="A226" s="8">
        <v>56</v>
      </c>
      <c r="B226" s="8" t="s">
        <v>51</v>
      </c>
      <c r="C226" s="8" t="s">
        <v>12</v>
      </c>
      <c r="D226" s="20">
        <v>9589.43</v>
      </c>
      <c r="E226" s="20">
        <v>94.97</v>
      </c>
      <c r="F226" s="15">
        <v>93.7</v>
      </c>
      <c r="G226" s="15">
        <v>0</v>
      </c>
      <c r="H226" s="15">
        <v>0</v>
      </c>
      <c r="I226" s="15">
        <v>0</v>
      </c>
      <c r="J226" s="20">
        <f>SUM(D226:I226)</f>
        <v>9778.1</v>
      </c>
      <c r="K226" s="8"/>
      <c r="L226" s="8"/>
    </row>
    <row r="227" spans="1:12" ht="15.75" thickBot="1">
      <c r="A227" s="8"/>
      <c r="B227" s="8"/>
      <c r="C227" s="8" t="s">
        <v>13</v>
      </c>
      <c r="D227" s="29">
        <v>141.21</v>
      </c>
      <c r="E227" s="29">
        <v>1.4</v>
      </c>
      <c r="F227" s="28">
        <v>1.45</v>
      </c>
      <c r="G227" s="28">
        <v>0</v>
      </c>
      <c r="H227" s="28">
        <v>0</v>
      </c>
      <c r="I227" s="28">
        <v>0</v>
      </c>
      <c r="J227" s="29">
        <f>SUM(D227:I227)</f>
        <v>144.06</v>
      </c>
      <c r="K227" s="8"/>
      <c r="L227" s="8"/>
    </row>
    <row r="228" spans="1:12">
      <c r="A228" s="8"/>
      <c r="B228" s="8"/>
      <c r="C228" s="8"/>
      <c r="D228" s="20"/>
      <c r="E228" s="20"/>
      <c r="F228" s="15"/>
      <c r="G228" s="15"/>
      <c r="H228" s="15"/>
      <c r="I228" s="15"/>
      <c r="J228" s="20"/>
      <c r="K228" s="8"/>
      <c r="L228" s="8"/>
    </row>
    <row r="229" spans="1:12" ht="15.75" thickBot="1">
      <c r="A229" s="8"/>
      <c r="B229" s="8"/>
      <c r="C229" s="8" t="s">
        <v>10</v>
      </c>
      <c r="D229" s="31">
        <f t="shared" ref="D229:I229" si="35">SUM(D226:D227)</f>
        <v>9730.64</v>
      </c>
      <c r="E229" s="31">
        <f t="shared" si="35"/>
        <v>96.37</v>
      </c>
      <c r="F229" s="30">
        <f t="shared" si="35"/>
        <v>95.15</v>
      </c>
      <c r="G229" s="30">
        <f t="shared" si="35"/>
        <v>0</v>
      </c>
      <c r="H229" s="30">
        <f t="shared" si="35"/>
        <v>0</v>
      </c>
      <c r="I229" s="30">
        <f t="shared" si="35"/>
        <v>0</v>
      </c>
      <c r="J229" s="31">
        <f>SUM(D229:I229)</f>
        <v>9922.16</v>
      </c>
      <c r="K229" s="8"/>
      <c r="L229" s="8"/>
    </row>
    <row r="230" spans="1:12" ht="15.75" thickTop="1">
      <c r="A230" s="8"/>
      <c r="B230" s="8"/>
      <c r="C230" s="8"/>
      <c r="D230" s="20"/>
      <c r="E230" s="20"/>
      <c r="F230" s="15"/>
      <c r="G230" s="15"/>
      <c r="H230" s="15"/>
      <c r="I230" s="15"/>
      <c r="J230" s="20"/>
      <c r="K230" s="8"/>
      <c r="L230" s="8"/>
    </row>
    <row r="231" spans="1:12">
      <c r="A231" s="8"/>
      <c r="B231" s="8"/>
      <c r="C231" s="8"/>
      <c r="D231" s="20"/>
      <c r="E231" s="20"/>
      <c r="F231" s="15"/>
      <c r="G231" s="15"/>
      <c r="H231" s="15"/>
      <c r="I231" s="15"/>
      <c r="J231" s="20"/>
      <c r="K231" s="8"/>
      <c r="L231" s="8"/>
    </row>
    <row r="232" spans="1:12">
      <c r="A232" s="8">
        <v>57</v>
      </c>
      <c r="B232" s="8" t="s">
        <v>52</v>
      </c>
      <c r="C232" s="8" t="s">
        <v>12</v>
      </c>
      <c r="D232" s="20">
        <v>23744.37</v>
      </c>
      <c r="E232" s="20">
        <v>1164.83</v>
      </c>
      <c r="F232" s="15">
        <v>606.70000000000005</v>
      </c>
      <c r="G232" s="15">
        <v>6.24</v>
      </c>
      <c r="H232" s="15">
        <v>5.16</v>
      </c>
      <c r="I232" s="15">
        <v>0</v>
      </c>
      <c r="J232" s="20">
        <f>SUM(D232:I232)</f>
        <v>25527.3</v>
      </c>
      <c r="K232" s="8"/>
      <c r="L232" s="8"/>
    </row>
    <row r="233" spans="1:12" ht="15.75" thickBot="1">
      <c r="A233" s="8"/>
      <c r="B233" s="8"/>
      <c r="C233" s="8" t="s">
        <v>13</v>
      </c>
      <c r="D233" s="29">
        <v>567.34</v>
      </c>
      <c r="E233" s="29">
        <v>31.73</v>
      </c>
      <c r="F233" s="28">
        <v>15.59</v>
      </c>
      <c r="G233" s="28">
        <v>0.06</v>
      </c>
      <c r="H233" s="28">
        <v>0.34</v>
      </c>
      <c r="I233" s="28">
        <v>0</v>
      </c>
      <c r="J233" s="29">
        <f>SUM(D233:I233)</f>
        <v>615.06000000000006</v>
      </c>
      <c r="K233" s="8"/>
      <c r="L233" s="8"/>
    </row>
    <row r="234" spans="1:12">
      <c r="A234" s="8"/>
      <c r="B234" s="8"/>
      <c r="C234" s="8"/>
      <c r="D234" s="20"/>
      <c r="E234" s="20"/>
      <c r="F234" s="15"/>
      <c r="G234" s="15"/>
      <c r="H234" s="15"/>
      <c r="I234" s="15"/>
      <c r="J234" s="20"/>
      <c r="K234" s="8"/>
      <c r="L234" s="8"/>
    </row>
    <row r="235" spans="1:12" ht="15.75" thickBot="1">
      <c r="A235" s="8"/>
      <c r="B235" s="8"/>
      <c r="C235" s="8" t="s">
        <v>10</v>
      </c>
      <c r="D235" s="31">
        <f t="shared" ref="D235:I235" si="36">SUM(D232:D233)</f>
        <v>24311.71</v>
      </c>
      <c r="E235" s="31">
        <f t="shared" si="36"/>
        <v>1196.56</v>
      </c>
      <c r="F235" s="30">
        <f t="shared" si="36"/>
        <v>622.29000000000008</v>
      </c>
      <c r="G235" s="30">
        <f t="shared" si="36"/>
        <v>6.3</v>
      </c>
      <c r="H235" s="30">
        <f t="shared" si="36"/>
        <v>5.5</v>
      </c>
      <c r="I235" s="30">
        <f t="shared" si="36"/>
        <v>0</v>
      </c>
      <c r="J235" s="31">
        <f>SUM(D235:I235)</f>
        <v>26142.36</v>
      </c>
      <c r="K235" s="8"/>
      <c r="L235" s="8"/>
    </row>
    <row r="236" spans="1:12" ht="15.75" thickTop="1">
      <c r="A236" s="8"/>
      <c r="B236" s="8"/>
      <c r="C236" s="8"/>
      <c r="D236" s="20"/>
      <c r="E236" s="20"/>
      <c r="F236" s="15"/>
      <c r="G236" s="15"/>
      <c r="H236" s="15"/>
      <c r="I236" s="15"/>
      <c r="J236" s="20"/>
      <c r="K236" s="8"/>
      <c r="L236" s="8"/>
    </row>
    <row r="237" spans="1:12">
      <c r="A237" s="8"/>
      <c r="B237" s="8"/>
      <c r="C237" s="8"/>
      <c r="D237" s="20"/>
      <c r="E237" s="20"/>
      <c r="F237" s="15"/>
      <c r="G237" s="15"/>
      <c r="H237" s="15"/>
      <c r="I237" s="15"/>
      <c r="J237" s="20"/>
      <c r="K237" s="8"/>
      <c r="L237" s="8"/>
    </row>
    <row r="238" spans="1:12">
      <c r="A238" s="8">
        <v>58</v>
      </c>
      <c r="B238" s="8" t="s">
        <v>53</v>
      </c>
      <c r="C238" s="8" t="s">
        <v>12</v>
      </c>
      <c r="D238" s="25">
        <v>13430.34</v>
      </c>
      <c r="E238" s="25">
        <v>233.33</v>
      </c>
      <c r="F238" s="24">
        <v>0.21</v>
      </c>
      <c r="G238" s="24">
        <v>0</v>
      </c>
      <c r="H238" s="24">
        <v>0</v>
      </c>
      <c r="I238" s="24">
        <v>0</v>
      </c>
      <c r="J238" s="25">
        <f>SUM(D238:I238)</f>
        <v>13663.88</v>
      </c>
      <c r="K238" s="8"/>
      <c r="L238" s="8"/>
    </row>
    <row r="239" spans="1:12" ht="15.75" hidden="1" thickBot="1">
      <c r="A239" s="8"/>
      <c r="B239" s="8"/>
      <c r="C239" s="8" t="s">
        <v>13</v>
      </c>
      <c r="D239" s="29"/>
      <c r="E239" s="29"/>
      <c r="F239" s="28"/>
      <c r="G239" s="28"/>
      <c r="H239" s="28"/>
      <c r="I239" s="28"/>
      <c r="J239" s="34">
        <v>0</v>
      </c>
      <c r="K239" s="8"/>
      <c r="L239" s="8"/>
    </row>
    <row r="240" spans="1:12">
      <c r="A240" s="8"/>
      <c r="B240" s="8"/>
      <c r="C240" s="8"/>
      <c r="D240" s="20"/>
      <c r="E240" s="20"/>
      <c r="F240" s="15"/>
      <c r="G240" s="15"/>
      <c r="H240" s="15"/>
      <c r="I240" s="15"/>
      <c r="J240" s="20"/>
      <c r="K240" s="8"/>
      <c r="L240" s="8"/>
    </row>
    <row r="241" spans="1:12" ht="15.75" thickBot="1">
      <c r="A241" s="8"/>
      <c r="B241" s="8"/>
      <c r="C241" s="8" t="s">
        <v>10</v>
      </c>
      <c r="D241" s="31">
        <f t="shared" ref="D241:I241" si="37">SUM(D238:D239)</f>
        <v>13430.34</v>
      </c>
      <c r="E241" s="31">
        <f t="shared" si="37"/>
        <v>233.33</v>
      </c>
      <c r="F241" s="30">
        <f t="shared" si="37"/>
        <v>0.21</v>
      </c>
      <c r="G241" s="30">
        <f t="shared" si="37"/>
        <v>0</v>
      </c>
      <c r="H241" s="30">
        <f t="shared" si="37"/>
        <v>0</v>
      </c>
      <c r="I241" s="30">
        <f t="shared" si="37"/>
        <v>0</v>
      </c>
      <c r="J241" s="31">
        <f>SUM(D241:I241)</f>
        <v>13663.88</v>
      </c>
      <c r="K241" s="8"/>
      <c r="L241" s="8"/>
    </row>
    <row r="242" spans="1:12" ht="15.75" thickTop="1">
      <c r="A242" s="8"/>
      <c r="B242" s="8"/>
      <c r="C242" s="8"/>
      <c r="D242" s="20"/>
      <c r="E242" s="20"/>
      <c r="F242" s="15"/>
      <c r="G242" s="15"/>
      <c r="H242" s="15"/>
      <c r="I242" s="15"/>
      <c r="J242" s="20"/>
      <c r="K242" s="8"/>
      <c r="L242" s="8"/>
    </row>
    <row r="243" spans="1:12">
      <c r="A243" s="8"/>
      <c r="B243" s="8"/>
      <c r="C243" s="8"/>
      <c r="D243" s="20"/>
      <c r="E243" s="20"/>
      <c r="F243" s="15"/>
      <c r="G243" s="15"/>
      <c r="H243" s="15"/>
      <c r="I243" s="15"/>
      <c r="J243" s="20"/>
      <c r="K243" s="8"/>
      <c r="L243" s="8"/>
    </row>
    <row r="244" spans="1:12">
      <c r="A244" s="8">
        <v>59</v>
      </c>
      <c r="B244" s="8" t="s">
        <v>54</v>
      </c>
      <c r="C244" s="8" t="s">
        <v>12</v>
      </c>
      <c r="D244" s="20">
        <v>18823.77</v>
      </c>
      <c r="E244" s="20">
        <v>734.19</v>
      </c>
      <c r="F244" s="15">
        <v>273.52</v>
      </c>
      <c r="G244" s="15">
        <v>1.55</v>
      </c>
      <c r="H244" s="15">
        <v>1.55</v>
      </c>
      <c r="I244" s="15">
        <v>1.22</v>
      </c>
      <c r="J244" s="20">
        <f>SUM(D244:I244)</f>
        <v>19835.8</v>
      </c>
      <c r="K244" s="8"/>
      <c r="L244" s="8"/>
    </row>
    <row r="245" spans="1:12" ht="15.75" thickBot="1">
      <c r="A245" s="8"/>
      <c r="B245" s="8"/>
      <c r="C245" s="8" t="s">
        <v>35</v>
      </c>
      <c r="D245" s="29">
        <v>976.24</v>
      </c>
      <c r="E245" s="29">
        <v>41.15</v>
      </c>
      <c r="F245" s="28">
        <v>15.78</v>
      </c>
      <c r="G245" s="28">
        <v>0.14000000000000001</v>
      </c>
      <c r="H245" s="28">
        <v>7.0000000000000007E-2</v>
      </c>
      <c r="I245" s="28">
        <v>7.0000000000000007E-2</v>
      </c>
      <c r="J245" s="29">
        <f>SUM(D245:I245)</f>
        <v>1033.45</v>
      </c>
      <c r="K245" s="8"/>
      <c r="L245" s="8"/>
    </row>
    <row r="246" spans="1:12">
      <c r="A246" s="8"/>
      <c r="B246" s="8"/>
      <c r="C246" s="8"/>
      <c r="D246" s="20"/>
      <c r="E246" s="20"/>
      <c r="F246" s="15"/>
      <c r="G246" s="15"/>
      <c r="H246" s="15"/>
      <c r="I246" s="15"/>
      <c r="J246" s="20"/>
      <c r="K246" s="8"/>
      <c r="L246" s="8"/>
    </row>
    <row r="247" spans="1:12" ht="15.75" thickBot="1">
      <c r="A247" s="8"/>
      <c r="B247" s="8"/>
      <c r="C247" s="8" t="s">
        <v>10</v>
      </c>
      <c r="D247" s="31">
        <f t="shared" ref="D247:I247" si="38">SUM(D244:D245)</f>
        <v>19800.010000000002</v>
      </c>
      <c r="E247" s="31">
        <f t="shared" si="38"/>
        <v>775.34</v>
      </c>
      <c r="F247" s="30">
        <f t="shared" si="38"/>
        <v>289.29999999999995</v>
      </c>
      <c r="G247" s="30">
        <f t="shared" si="38"/>
        <v>1.69</v>
      </c>
      <c r="H247" s="30">
        <f t="shared" si="38"/>
        <v>1.62</v>
      </c>
      <c r="I247" s="30">
        <f t="shared" si="38"/>
        <v>1.29</v>
      </c>
      <c r="J247" s="31">
        <f>SUM(D247:I247)</f>
        <v>20869.25</v>
      </c>
      <c r="K247" s="8"/>
      <c r="L247" s="8"/>
    </row>
    <row r="248" spans="1:12" ht="15.75" thickTop="1">
      <c r="A248" s="8"/>
      <c r="B248" s="8"/>
      <c r="C248" s="8"/>
      <c r="D248" s="20"/>
      <c r="E248" s="20"/>
      <c r="F248" s="15"/>
      <c r="G248" s="15"/>
      <c r="H248" s="15"/>
      <c r="I248" s="15"/>
      <c r="J248" s="20"/>
      <c r="K248" s="8"/>
      <c r="L248" s="8"/>
    </row>
    <row r="249" spans="1:12">
      <c r="A249" s="8"/>
      <c r="B249" s="8"/>
      <c r="C249" s="8"/>
      <c r="D249" s="20"/>
      <c r="E249" s="20"/>
      <c r="F249" s="15"/>
      <c r="G249" s="15"/>
      <c r="H249" s="15"/>
      <c r="I249" s="15"/>
      <c r="J249" s="20"/>
      <c r="K249" s="8"/>
      <c r="L249" s="8"/>
    </row>
    <row r="250" spans="1:12">
      <c r="A250" s="8">
        <v>60</v>
      </c>
      <c r="B250" s="8" t="s">
        <v>55</v>
      </c>
      <c r="C250" s="8" t="s">
        <v>12</v>
      </c>
      <c r="D250" s="20">
        <v>58729.62</v>
      </c>
      <c r="E250" s="20">
        <v>1032.54</v>
      </c>
      <c r="F250" s="15">
        <v>806.06</v>
      </c>
      <c r="G250" s="15">
        <v>0</v>
      </c>
      <c r="H250" s="15">
        <v>0</v>
      </c>
      <c r="I250" s="15">
        <v>0</v>
      </c>
      <c r="J250" s="20">
        <f>SUM(D250:I250)</f>
        <v>60568.22</v>
      </c>
      <c r="K250" s="8"/>
      <c r="L250" s="8"/>
    </row>
    <row r="251" spans="1:12">
      <c r="A251" s="8"/>
      <c r="B251" s="8"/>
      <c r="C251" s="8" t="s">
        <v>13</v>
      </c>
      <c r="D251" s="20">
        <v>3099.65</v>
      </c>
      <c r="E251" s="35">
        <v>0</v>
      </c>
      <c r="F251" s="15">
        <v>0</v>
      </c>
      <c r="G251" s="15">
        <v>0</v>
      </c>
      <c r="H251" s="15">
        <v>0</v>
      </c>
      <c r="I251" s="15">
        <v>0</v>
      </c>
      <c r="J251" s="20">
        <f>SUM(D251:I251)</f>
        <v>3099.65</v>
      </c>
      <c r="K251" s="8"/>
      <c r="L251" s="8"/>
    </row>
    <row r="252" spans="1:12">
      <c r="A252" s="8"/>
      <c r="B252" s="8"/>
      <c r="C252" s="8" t="s">
        <v>97</v>
      </c>
      <c r="D252" s="20">
        <v>391.32</v>
      </c>
      <c r="E252" s="35">
        <v>0</v>
      </c>
      <c r="F252" s="15">
        <v>0</v>
      </c>
      <c r="G252" s="15">
        <v>0</v>
      </c>
      <c r="H252" s="15">
        <v>0</v>
      </c>
      <c r="I252" s="15">
        <v>0</v>
      </c>
      <c r="J252" s="20">
        <f>SUM(D252:I252)</f>
        <v>391.32</v>
      </c>
      <c r="K252" s="8"/>
      <c r="L252" s="8"/>
    </row>
    <row r="253" spans="1:12">
      <c r="A253" s="8"/>
      <c r="B253" s="8"/>
      <c r="C253" s="8" t="s">
        <v>98</v>
      </c>
      <c r="D253" s="25">
        <v>1859.7</v>
      </c>
      <c r="E253" s="45">
        <v>0</v>
      </c>
      <c r="F253" s="24">
        <v>0</v>
      </c>
      <c r="G253" s="24">
        <v>0</v>
      </c>
      <c r="H253" s="24">
        <v>0</v>
      </c>
      <c r="I253" s="24">
        <v>0</v>
      </c>
      <c r="J253" s="25">
        <f>SUM(D253:I253)</f>
        <v>1859.7</v>
      </c>
      <c r="K253" s="8"/>
      <c r="L253" s="8"/>
    </row>
    <row r="254" spans="1:12">
      <c r="A254" s="8"/>
      <c r="B254" s="8"/>
      <c r="C254" s="8"/>
      <c r="D254" s="20"/>
      <c r="E254" s="20"/>
      <c r="F254" s="15"/>
      <c r="G254" s="15"/>
      <c r="H254" s="15"/>
      <c r="I254" s="15"/>
      <c r="J254" s="20"/>
      <c r="K254" s="8"/>
      <c r="L254" s="8"/>
    </row>
    <row r="255" spans="1:12">
      <c r="A255" s="8"/>
      <c r="B255" s="8"/>
      <c r="C255" s="8"/>
      <c r="D255" s="20"/>
      <c r="E255" s="20"/>
      <c r="F255" s="15"/>
      <c r="G255" s="15"/>
      <c r="H255" s="15"/>
      <c r="I255" s="15"/>
      <c r="J255" s="20"/>
      <c r="K255" s="8"/>
      <c r="L255" s="8"/>
    </row>
    <row r="256" spans="1:12" ht="15.75" thickBot="1">
      <c r="A256" s="8"/>
      <c r="B256" s="8"/>
      <c r="C256" s="8" t="s">
        <v>10</v>
      </c>
      <c r="D256" s="31">
        <f t="shared" ref="D256:I256" si="39">SUM(D250:D255)</f>
        <v>64080.29</v>
      </c>
      <c r="E256" s="31">
        <f t="shared" si="39"/>
        <v>1032.54</v>
      </c>
      <c r="F256" s="30">
        <f t="shared" si="39"/>
        <v>806.06</v>
      </c>
      <c r="G256" s="30">
        <f t="shared" si="39"/>
        <v>0</v>
      </c>
      <c r="H256" s="30">
        <f t="shared" si="39"/>
        <v>0</v>
      </c>
      <c r="I256" s="30">
        <f t="shared" si="39"/>
        <v>0</v>
      </c>
      <c r="J256" s="31">
        <f>SUM(D256:I256)</f>
        <v>65918.89</v>
      </c>
      <c r="K256" s="8"/>
      <c r="L256" s="8"/>
    </row>
    <row r="257" spans="1:12" ht="15.75" thickTop="1">
      <c r="A257" s="8"/>
      <c r="B257" s="8"/>
      <c r="C257" s="8"/>
      <c r="D257" s="20"/>
      <c r="E257" s="20"/>
      <c r="F257" s="15"/>
      <c r="G257" s="15"/>
      <c r="H257" s="15"/>
      <c r="I257" s="15"/>
      <c r="J257" s="20"/>
      <c r="K257" s="8"/>
      <c r="L257" s="8"/>
    </row>
    <row r="258" spans="1:12">
      <c r="A258" s="8"/>
      <c r="B258" s="8"/>
      <c r="C258" s="8"/>
      <c r="D258" s="20"/>
      <c r="E258" s="20"/>
      <c r="F258" s="15"/>
      <c r="G258" s="15"/>
      <c r="H258" s="15"/>
      <c r="I258" s="15"/>
      <c r="J258" s="20"/>
      <c r="K258" s="8"/>
      <c r="L258" s="8"/>
    </row>
    <row r="259" spans="1:12">
      <c r="A259" s="8">
        <v>61</v>
      </c>
      <c r="B259" s="8" t="s">
        <v>56</v>
      </c>
      <c r="C259" s="8" t="s">
        <v>12</v>
      </c>
      <c r="D259" s="39">
        <v>12629.12</v>
      </c>
      <c r="E259" s="20">
        <v>58.13</v>
      </c>
      <c r="F259" s="15">
        <v>0</v>
      </c>
      <c r="G259" s="15">
        <v>0</v>
      </c>
      <c r="H259" s="15">
        <v>0</v>
      </c>
      <c r="I259" s="15">
        <v>0</v>
      </c>
      <c r="J259" s="20">
        <f>SUM(D259:I259)</f>
        <v>12687.25</v>
      </c>
      <c r="K259" s="8"/>
      <c r="L259" s="8"/>
    </row>
    <row r="260" spans="1:12">
      <c r="A260" s="8"/>
      <c r="B260" s="8"/>
      <c r="C260" s="8" t="s">
        <v>13</v>
      </c>
      <c r="D260" s="20">
        <v>189.61</v>
      </c>
      <c r="E260" s="20">
        <v>0.86</v>
      </c>
      <c r="F260" s="15">
        <v>0</v>
      </c>
      <c r="G260" s="15">
        <v>0</v>
      </c>
      <c r="H260" s="15">
        <v>0</v>
      </c>
      <c r="I260" s="15">
        <v>0</v>
      </c>
      <c r="J260" s="20">
        <f>SUM(D260:I260)</f>
        <v>190.47000000000003</v>
      </c>
      <c r="K260" s="8"/>
      <c r="L260" s="8"/>
    </row>
    <row r="261" spans="1:12" ht="15.75" thickBot="1">
      <c r="A261" s="8"/>
      <c r="B261" s="8"/>
      <c r="C261" s="8" t="s">
        <v>99</v>
      </c>
      <c r="D261" s="29">
        <v>775.24</v>
      </c>
      <c r="E261" s="29">
        <v>3.92</v>
      </c>
      <c r="F261" s="28">
        <v>0</v>
      </c>
      <c r="G261" s="28">
        <v>0</v>
      </c>
      <c r="H261" s="28">
        <v>0</v>
      </c>
      <c r="I261" s="28">
        <v>0</v>
      </c>
      <c r="J261" s="29">
        <f>SUM(D261:I261)</f>
        <v>779.16</v>
      </c>
      <c r="K261" s="8"/>
      <c r="L261" s="8"/>
    </row>
    <row r="262" spans="1:12">
      <c r="A262" s="8"/>
      <c r="B262" s="8"/>
      <c r="C262" s="8"/>
      <c r="D262" s="20"/>
      <c r="E262" s="20"/>
      <c r="F262" s="15"/>
      <c r="G262" s="15"/>
      <c r="H262" s="15"/>
      <c r="I262" s="15"/>
      <c r="J262" s="20"/>
      <c r="K262" s="8"/>
      <c r="L262" s="8"/>
    </row>
    <row r="263" spans="1:12" ht="15.75" thickBot="1">
      <c r="A263" s="8"/>
      <c r="B263" s="8"/>
      <c r="C263" s="8" t="s">
        <v>10</v>
      </c>
      <c r="D263" s="31">
        <f>SUM(D259:D261)</f>
        <v>13593.970000000001</v>
      </c>
      <c r="E263" s="31">
        <f t="shared" ref="E263:J263" si="40">SUM(E259:E261)</f>
        <v>62.910000000000004</v>
      </c>
      <c r="F263" s="30">
        <f t="shared" si="40"/>
        <v>0</v>
      </c>
      <c r="G263" s="30">
        <f t="shared" si="40"/>
        <v>0</v>
      </c>
      <c r="H263" s="30">
        <f t="shared" si="40"/>
        <v>0</v>
      </c>
      <c r="I263" s="30">
        <f t="shared" si="40"/>
        <v>0</v>
      </c>
      <c r="J263" s="30">
        <f t="shared" si="40"/>
        <v>13656.88</v>
      </c>
      <c r="K263" s="8"/>
      <c r="L263" s="8"/>
    </row>
    <row r="264" spans="1:12" ht="15.75" thickTop="1">
      <c r="A264" s="8"/>
      <c r="B264" s="8"/>
      <c r="C264" s="8"/>
      <c r="D264" s="20"/>
      <c r="E264" s="20"/>
      <c r="F264" s="15"/>
      <c r="G264" s="15"/>
      <c r="H264" s="15"/>
      <c r="I264" s="15"/>
      <c r="J264" s="20"/>
      <c r="K264" s="8"/>
      <c r="L264" s="8"/>
    </row>
    <row r="265" spans="1:12">
      <c r="A265" s="8"/>
      <c r="B265" s="8"/>
      <c r="C265" s="8"/>
      <c r="D265" s="20"/>
      <c r="E265" s="20"/>
      <c r="F265" s="15"/>
      <c r="G265" s="15"/>
      <c r="H265" s="15"/>
      <c r="I265" s="15"/>
      <c r="J265" s="20"/>
      <c r="K265" s="8"/>
      <c r="L265" s="8"/>
    </row>
    <row r="266" spans="1:12">
      <c r="A266" s="8">
        <v>62</v>
      </c>
      <c r="B266" s="8" t="s">
        <v>57</v>
      </c>
      <c r="C266" s="8" t="s">
        <v>12</v>
      </c>
      <c r="D266" s="20">
        <v>5048.3500000000004</v>
      </c>
      <c r="E266" s="20">
        <v>27.26</v>
      </c>
      <c r="F266" s="15">
        <v>26.41</v>
      </c>
      <c r="G266" s="15">
        <v>0</v>
      </c>
      <c r="H266" s="15">
        <v>0</v>
      </c>
      <c r="I266" s="15">
        <v>0</v>
      </c>
      <c r="J266" s="20">
        <f>SUM(D266:I266)</f>
        <v>5102.0200000000004</v>
      </c>
      <c r="K266" s="8"/>
      <c r="L266" s="8"/>
    </row>
    <row r="267" spans="1:12" ht="15.75" thickBot="1">
      <c r="A267" s="8"/>
      <c r="B267" s="8"/>
      <c r="C267" s="8" t="s">
        <v>13</v>
      </c>
      <c r="D267" s="29">
        <v>91.25</v>
      </c>
      <c r="E267" s="29">
        <v>0.52</v>
      </c>
      <c r="F267" s="28">
        <v>0.57999999999999996</v>
      </c>
      <c r="G267" s="28">
        <v>0</v>
      </c>
      <c r="H267" s="28">
        <v>0</v>
      </c>
      <c r="I267" s="28">
        <v>0</v>
      </c>
      <c r="J267" s="29">
        <f>SUM(D267:I267)</f>
        <v>92.35</v>
      </c>
      <c r="K267" s="8"/>
      <c r="L267" s="8"/>
    </row>
    <row r="268" spans="1:12">
      <c r="A268" s="8"/>
      <c r="B268" s="8"/>
      <c r="C268" s="8"/>
      <c r="D268" s="20"/>
      <c r="E268" s="20"/>
      <c r="F268" s="15"/>
      <c r="G268" s="15"/>
      <c r="H268" s="15"/>
      <c r="I268" s="15"/>
      <c r="J268" s="20"/>
      <c r="K268" s="8"/>
      <c r="L268" s="8"/>
    </row>
    <row r="269" spans="1:12" ht="15.75" thickBot="1">
      <c r="A269" s="8"/>
      <c r="B269" s="8"/>
      <c r="C269" s="8" t="s">
        <v>10</v>
      </c>
      <c r="D269" s="31">
        <f t="shared" ref="D269:I269" si="41">SUM(D266:D267)</f>
        <v>5139.6000000000004</v>
      </c>
      <c r="E269" s="31">
        <f t="shared" si="41"/>
        <v>27.78</v>
      </c>
      <c r="F269" s="30">
        <f t="shared" si="41"/>
        <v>26.99</v>
      </c>
      <c r="G269" s="30">
        <f t="shared" si="41"/>
        <v>0</v>
      </c>
      <c r="H269" s="30">
        <f t="shared" si="41"/>
        <v>0</v>
      </c>
      <c r="I269" s="30">
        <f t="shared" si="41"/>
        <v>0</v>
      </c>
      <c r="J269" s="31">
        <f>SUM(D269:I269)</f>
        <v>5194.37</v>
      </c>
      <c r="K269" s="8"/>
      <c r="L269" s="8"/>
    </row>
    <row r="270" spans="1:12" ht="15.75" thickTop="1">
      <c r="A270" s="8"/>
      <c r="B270" s="8"/>
      <c r="C270" s="8"/>
      <c r="D270" s="20"/>
      <c r="E270" s="20"/>
      <c r="F270" s="15"/>
      <c r="G270" s="15"/>
      <c r="H270" s="15"/>
      <c r="I270" s="15"/>
      <c r="J270" s="20"/>
      <c r="K270" s="8"/>
      <c r="L270" s="8"/>
    </row>
    <row r="271" spans="1:12">
      <c r="A271" s="8"/>
      <c r="B271" s="8"/>
      <c r="C271" s="8"/>
      <c r="D271" s="20"/>
      <c r="E271" s="20"/>
      <c r="F271" s="15"/>
      <c r="G271" s="15"/>
      <c r="H271" s="15"/>
      <c r="I271" s="15"/>
      <c r="J271" s="20"/>
      <c r="K271" s="8"/>
      <c r="L271" s="8"/>
    </row>
    <row r="272" spans="1:12">
      <c r="A272" s="8">
        <v>63</v>
      </c>
      <c r="B272" s="8" t="s">
        <v>58</v>
      </c>
      <c r="C272" s="8" t="s">
        <v>12</v>
      </c>
      <c r="D272" s="20">
        <v>13677.92</v>
      </c>
      <c r="E272" s="20">
        <v>240.58</v>
      </c>
      <c r="F272" s="15">
        <v>0</v>
      </c>
      <c r="G272" s="15">
        <v>0</v>
      </c>
      <c r="H272" s="15">
        <v>0</v>
      </c>
      <c r="I272" s="15">
        <v>0</v>
      </c>
      <c r="J272" s="20">
        <f>SUM(D272:I272)</f>
        <v>13918.5</v>
      </c>
      <c r="K272" s="8"/>
      <c r="L272" s="8"/>
    </row>
    <row r="273" spans="1:12" ht="15.75" thickBot="1">
      <c r="A273" s="8"/>
      <c r="B273" s="8"/>
      <c r="C273" s="8" t="s">
        <v>13</v>
      </c>
      <c r="D273" s="29">
        <v>295</v>
      </c>
      <c r="E273" s="29">
        <v>4.9800000000000004</v>
      </c>
      <c r="F273" s="28">
        <v>0</v>
      </c>
      <c r="G273" s="28">
        <v>0</v>
      </c>
      <c r="H273" s="28">
        <v>0</v>
      </c>
      <c r="I273" s="28">
        <v>0</v>
      </c>
      <c r="J273" s="29">
        <f>SUM(D273:I273)</f>
        <v>299.98</v>
      </c>
      <c r="K273" s="8"/>
      <c r="L273" s="8"/>
    </row>
    <row r="274" spans="1:12">
      <c r="A274" s="8"/>
      <c r="B274" s="8"/>
      <c r="C274" s="8"/>
      <c r="D274" s="20"/>
      <c r="E274" s="20"/>
      <c r="F274" s="15"/>
      <c r="G274" s="15"/>
      <c r="H274" s="15"/>
      <c r="I274" s="15"/>
      <c r="J274" s="20"/>
      <c r="K274" s="8"/>
      <c r="L274" s="8"/>
    </row>
    <row r="275" spans="1:12" ht="15.75" thickBot="1">
      <c r="A275" s="8"/>
      <c r="B275" s="8"/>
      <c r="C275" s="8" t="s">
        <v>10</v>
      </c>
      <c r="D275" s="31">
        <f t="shared" ref="D275:I275" si="42">SUM(D272:D273)</f>
        <v>13972.92</v>
      </c>
      <c r="E275" s="31">
        <f t="shared" si="42"/>
        <v>245.56</v>
      </c>
      <c r="F275" s="30">
        <f t="shared" si="42"/>
        <v>0</v>
      </c>
      <c r="G275" s="30">
        <f t="shared" si="42"/>
        <v>0</v>
      </c>
      <c r="H275" s="30">
        <f t="shared" si="42"/>
        <v>0</v>
      </c>
      <c r="I275" s="30">
        <f t="shared" si="42"/>
        <v>0</v>
      </c>
      <c r="J275" s="31">
        <f>SUM(D275:I275)</f>
        <v>14218.48</v>
      </c>
      <c r="K275" s="8"/>
      <c r="L275" s="8"/>
    </row>
    <row r="276" spans="1:12" ht="15.75" thickTop="1">
      <c r="A276" s="8"/>
      <c r="B276" s="8"/>
      <c r="C276" s="8"/>
      <c r="D276" s="20"/>
      <c r="E276" s="20"/>
      <c r="F276" s="15"/>
      <c r="G276" s="15"/>
      <c r="H276" s="15"/>
      <c r="I276" s="15"/>
      <c r="J276" s="20"/>
      <c r="K276" s="8"/>
      <c r="L276" s="8"/>
    </row>
    <row r="277" spans="1:12">
      <c r="A277" s="8"/>
      <c r="B277" s="8"/>
      <c r="C277" s="8"/>
      <c r="D277" s="20"/>
      <c r="E277" s="20"/>
      <c r="F277" s="15"/>
      <c r="G277" s="15"/>
      <c r="H277" s="15"/>
      <c r="I277" s="15"/>
      <c r="J277" s="20"/>
      <c r="K277" s="8"/>
      <c r="L277" s="8"/>
    </row>
    <row r="278" spans="1:12" ht="15.75" thickBot="1">
      <c r="A278" s="8">
        <v>64</v>
      </c>
      <c r="B278" s="8" t="s">
        <v>59</v>
      </c>
      <c r="C278" s="8" t="s">
        <v>12</v>
      </c>
      <c r="D278" s="29">
        <v>62780.79</v>
      </c>
      <c r="E278" s="29">
        <v>1132.47</v>
      </c>
      <c r="F278" s="28">
        <v>960.94</v>
      </c>
      <c r="G278" s="28">
        <v>26.43</v>
      </c>
      <c r="H278" s="28">
        <v>34.44</v>
      </c>
      <c r="I278" s="28">
        <v>23.18</v>
      </c>
      <c r="J278" s="29">
        <f>SUM(D278:I278)</f>
        <v>64958.250000000007</v>
      </c>
      <c r="K278" s="8"/>
      <c r="L278" s="8"/>
    </row>
    <row r="279" spans="1:12">
      <c r="A279" s="8"/>
      <c r="B279" s="8"/>
      <c r="C279" s="8"/>
      <c r="D279" s="20"/>
      <c r="E279" s="20"/>
      <c r="F279" s="15"/>
      <c r="G279" s="15"/>
      <c r="H279" s="15"/>
      <c r="I279" s="15"/>
      <c r="J279" s="20"/>
      <c r="K279" s="8"/>
      <c r="L279" s="8"/>
    </row>
    <row r="280" spans="1:12" ht="15.75" thickBot="1">
      <c r="A280" s="8"/>
      <c r="B280" s="8"/>
      <c r="C280" s="8" t="s">
        <v>10</v>
      </c>
      <c r="D280" s="31">
        <f t="shared" ref="D280:I280" si="43">SUM(D278:D279)</f>
        <v>62780.79</v>
      </c>
      <c r="E280" s="31">
        <f t="shared" si="43"/>
        <v>1132.47</v>
      </c>
      <c r="F280" s="30">
        <f t="shared" si="43"/>
        <v>960.94</v>
      </c>
      <c r="G280" s="30">
        <f t="shared" si="43"/>
        <v>26.43</v>
      </c>
      <c r="H280" s="30">
        <f t="shared" si="43"/>
        <v>34.44</v>
      </c>
      <c r="I280" s="30">
        <f t="shared" si="43"/>
        <v>23.18</v>
      </c>
      <c r="J280" s="31">
        <f>SUM(D280:I280)</f>
        <v>64958.250000000007</v>
      </c>
      <c r="K280" s="8"/>
      <c r="L280" s="8"/>
    </row>
    <row r="281" spans="1:12" ht="15.75" thickTop="1">
      <c r="A281" s="8"/>
      <c r="B281" s="8"/>
      <c r="C281" s="8"/>
      <c r="D281" s="20"/>
      <c r="E281" s="20"/>
      <c r="F281" s="15"/>
      <c r="G281" s="15"/>
      <c r="H281" s="15"/>
      <c r="I281" s="15"/>
      <c r="J281" s="20"/>
      <c r="K281" s="8"/>
      <c r="L281" s="8"/>
    </row>
    <row r="282" spans="1:12">
      <c r="A282" s="8"/>
      <c r="B282" s="12"/>
      <c r="C282" s="12"/>
      <c r="D282" s="36"/>
      <c r="E282" s="36"/>
      <c r="F282" s="16"/>
      <c r="G282" s="13"/>
      <c r="H282" s="13"/>
      <c r="I282" s="13"/>
      <c r="J282" s="20"/>
      <c r="K282" s="8"/>
      <c r="L282" s="8"/>
    </row>
    <row r="283" spans="1:12">
      <c r="A283" s="8">
        <v>65</v>
      </c>
      <c r="B283" s="8" t="s">
        <v>60</v>
      </c>
      <c r="C283" s="8" t="s">
        <v>12</v>
      </c>
      <c r="D283" s="25">
        <v>8985.43</v>
      </c>
      <c r="E283" s="25">
        <v>75.459999999999994</v>
      </c>
      <c r="F283" s="24">
        <v>8.5500000000000007</v>
      </c>
      <c r="G283" s="24">
        <v>0</v>
      </c>
      <c r="H283" s="24">
        <v>0</v>
      </c>
      <c r="I283" s="24">
        <v>0</v>
      </c>
      <c r="J283" s="25">
        <f>SUM(D283:I283)</f>
        <v>9069.4399999999987</v>
      </c>
      <c r="K283" s="8"/>
      <c r="L283" s="8"/>
    </row>
    <row r="284" spans="1:12" ht="15.75" hidden="1" thickBot="1">
      <c r="A284" s="8"/>
      <c r="B284" s="8"/>
      <c r="C284" s="8" t="s">
        <v>13</v>
      </c>
      <c r="D284" s="29"/>
      <c r="E284" s="29"/>
      <c r="F284" s="28"/>
      <c r="G284" s="28"/>
      <c r="H284" s="28"/>
      <c r="I284" s="28"/>
      <c r="J284" s="29"/>
      <c r="K284" s="8"/>
      <c r="L284" s="8"/>
    </row>
    <row r="285" spans="1:12">
      <c r="A285" s="8"/>
      <c r="B285" s="8"/>
      <c r="C285" s="8"/>
      <c r="D285" s="20"/>
      <c r="E285" s="20"/>
      <c r="F285" s="15"/>
      <c r="G285" s="15"/>
      <c r="H285" s="15"/>
      <c r="I285" s="15"/>
      <c r="J285" s="20"/>
      <c r="K285" s="8"/>
      <c r="L285" s="8"/>
    </row>
    <row r="286" spans="1:12" ht="15.75" thickBot="1">
      <c r="A286" s="8"/>
      <c r="B286" s="8"/>
      <c r="C286" s="8" t="s">
        <v>10</v>
      </c>
      <c r="D286" s="31">
        <f t="shared" ref="D286:I286" si="44">SUM(D283:D284)</f>
        <v>8985.43</v>
      </c>
      <c r="E286" s="31">
        <f t="shared" si="44"/>
        <v>75.459999999999994</v>
      </c>
      <c r="F286" s="30">
        <f t="shared" si="44"/>
        <v>8.5500000000000007</v>
      </c>
      <c r="G286" s="30">
        <f t="shared" si="44"/>
        <v>0</v>
      </c>
      <c r="H286" s="30">
        <f t="shared" si="44"/>
        <v>0</v>
      </c>
      <c r="I286" s="30">
        <f t="shared" si="44"/>
        <v>0</v>
      </c>
      <c r="J286" s="31">
        <f>SUM(D286:I286)</f>
        <v>9069.4399999999987</v>
      </c>
      <c r="K286" s="8"/>
      <c r="L286" s="8"/>
    </row>
    <row r="287" spans="1:12" ht="15.75" thickTop="1">
      <c r="A287" s="8"/>
      <c r="B287" s="8"/>
      <c r="C287" s="8"/>
      <c r="D287" s="20"/>
      <c r="E287" s="20"/>
      <c r="F287" s="15"/>
      <c r="G287" s="15"/>
      <c r="H287" s="15"/>
      <c r="I287" s="15"/>
      <c r="J287" s="20"/>
      <c r="K287" s="8"/>
      <c r="L287" s="8"/>
    </row>
    <row r="288" spans="1:12">
      <c r="A288" s="8"/>
      <c r="B288" s="8"/>
      <c r="C288" s="8"/>
      <c r="D288" s="20"/>
      <c r="E288" s="20"/>
      <c r="F288" s="15"/>
      <c r="G288" s="15"/>
      <c r="H288" s="15"/>
      <c r="I288" s="15"/>
      <c r="J288" s="20"/>
      <c r="K288" s="8"/>
      <c r="L288" s="8"/>
    </row>
    <row r="289" spans="1:12">
      <c r="A289" s="8">
        <v>66</v>
      </c>
      <c r="B289" s="8" t="s">
        <v>61</v>
      </c>
      <c r="C289" s="8" t="s">
        <v>12</v>
      </c>
      <c r="D289" s="20">
        <v>10436.959999999999</v>
      </c>
      <c r="E289" s="20">
        <v>559.04999999999995</v>
      </c>
      <c r="F289" s="15">
        <v>372.31</v>
      </c>
      <c r="G289" s="15">
        <v>0</v>
      </c>
      <c r="H289" s="15">
        <v>0</v>
      </c>
      <c r="I289" s="15">
        <v>0</v>
      </c>
      <c r="J289" s="20">
        <f>SUM(D289:I289)</f>
        <v>11368.319999999998</v>
      </c>
      <c r="K289" s="8"/>
      <c r="L289" s="8"/>
    </row>
    <row r="290" spans="1:12" hidden="1">
      <c r="A290" s="8"/>
      <c r="B290" s="8"/>
      <c r="C290" s="8" t="s">
        <v>13</v>
      </c>
      <c r="D290" s="20"/>
      <c r="E290" s="20"/>
      <c r="F290" s="15"/>
      <c r="G290" s="15"/>
      <c r="H290" s="15"/>
      <c r="I290" s="15"/>
      <c r="J290" s="35">
        <f>SUM(D290:I290)</f>
        <v>0</v>
      </c>
      <c r="K290" s="8"/>
      <c r="L290" s="8"/>
    </row>
    <row r="291" spans="1:12" ht="15.75" thickBot="1">
      <c r="A291" s="8"/>
      <c r="B291" s="8"/>
      <c r="C291" s="8" t="s">
        <v>73</v>
      </c>
      <c r="D291" s="29">
        <v>701.27</v>
      </c>
      <c r="E291" s="29">
        <v>37.81</v>
      </c>
      <c r="F291" s="28">
        <v>24.81</v>
      </c>
      <c r="G291" s="33">
        <v>0</v>
      </c>
      <c r="H291" s="33">
        <v>0</v>
      </c>
      <c r="I291" s="33">
        <v>0</v>
      </c>
      <c r="J291" s="29">
        <f>SUM(D291:I291)</f>
        <v>763.88999999999987</v>
      </c>
      <c r="K291" s="8"/>
      <c r="L291" s="8"/>
    </row>
    <row r="292" spans="1:12">
      <c r="A292" s="8"/>
      <c r="B292" s="8"/>
      <c r="C292" s="8"/>
      <c r="D292" s="20"/>
      <c r="E292" s="20"/>
      <c r="F292" s="15"/>
      <c r="G292" s="8"/>
      <c r="H292" s="8"/>
      <c r="I292" s="8"/>
      <c r="J292" s="20"/>
      <c r="K292" s="8"/>
      <c r="L292" s="8"/>
    </row>
    <row r="293" spans="1:12" ht="15.75" thickBot="1">
      <c r="A293" s="8"/>
      <c r="B293" s="8"/>
      <c r="C293" s="8" t="s">
        <v>10</v>
      </c>
      <c r="D293" s="31">
        <f t="shared" ref="D293:I293" si="45">SUM(D289:D291)</f>
        <v>11138.23</v>
      </c>
      <c r="E293" s="31">
        <f t="shared" si="45"/>
        <v>596.8599999999999</v>
      </c>
      <c r="F293" s="30">
        <f t="shared" si="45"/>
        <v>397.12</v>
      </c>
      <c r="G293" s="30">
        <f t="shared" si="45"/>
        <v>0</v>
      </c>
      <c r="H293" s="30">
        <f t="shared" si="45"/>
        <v>0</v>
      </c>
      <c r="I293" s="30">
        <f t="shared" si="45"/>
        <v>0</v>
      </c>
      <c r="J293" s="31">
        <f>SUM(D293:I293)</f>
        <v>12132.210000000001</v>
      </c>
      <c r="K293" s="8"/>
      <c r="L293" s="8"/>
    </row>
    <row r="294" spans="1:12" ht="15.75" thickTop="1">
      <c r="A294" s="8"/>
      <c r="B294" s="8"/>
      <c r="C294" s="8"/>
      <c r="D294" s="20"/>
      <c r="E294" s="20"/>
      <c r="F294" s="15"/>
      <c r="G294" s="15"/>
      <c r="H294" s="15"/>
      <c r="I294" s="15"/>
      <c r="J294" s="20"/>
      <c r="K294" s="8"/>
      <c r="L294" s="8"/>
    </row>
    <row r="295" spans="1:12">
      <c r="A295" s="8"/>
      <c r="B295" s="8"/>
      <c r="C295" s="8"/>
      <c r="D295" s="20"/>
      <c r="E295" s="20"/>
      <c r="F295" s="15"/>
      <c r="G295" s="15"/>
      <c r="H295" s="15"/>
      <c r="I295" s="15"/>
      <c r="J295" s="20"/>
      <c r="K295" s="8"/>
      <c r="L295" s="8"/>
    </row>
    <row r="296" spans="1:12">
      <c r="A296" s="8">
        <v>67</v>
      </c>
      <c r="B296" s="8" t="s">
        <v>62</v>
      </c>
      <c r="C296" s="8" t="s">
        <v>12</v>
      </c>
      <c r="D296" s="20">
        <v>10272.68</v>
      </c>
      <c r="E296" s="20">
        <v>898.03</v>
      </c>
      <c r="F296" s="15">
        <v>88.47</v>
      </c>
      <c r="G296" s="15">
        <v>0</v>
      </c>
      <c r="H296" s="15">
        <v>0</v>
      </c>
      <c r="I296" s="15">
        <v>0</v>
      </c>
      <c r="J296" s="20">
        <f>SUM(D296:I296)</f>
        <v>11259.18</v>
      </c>
      <c r="K296" s="8"/>
      <c r="L296" s="8"/>
    </row>
    <row r="297" spans="1:12" ht="15.75" thickBot="1">
      <c r="A297" s="8"/>
      <c r="B297" s="8"/>
      <c r="C297" s="8" t="s">
        <v>13</v>
      </c>
      <c r="D297" s="29">
        <v>259.23</v>
      </c>
      <c r="E297" s="29">
        <v>22.45</v>
      </c>
      <c r="F297" s="28">
        <v>2.15</v>
      </c>
      <c r="G297" s="28">
        <v>0</v>
      </c>
      <c r="H297" s="28">
        <v>0</v>
      </c>
      <c r="I297" s="28">
        <v>0</v>
      </c>
      <c r="J297" s="29">
        <f>SUM(D297:I297)</f>
        <v>283.83</v>
      </c>
      <c r="K297" s="8"/>
      <c r="L297" s="8"/>
    </row>
    <row r="298" spans="1:12">
      <c r="A298" s="8"/>
      <c r="B298" s="8"/>
      <c r="C298" s="8"/>
      <c r="D298" s="20"/>
      <c r="E298" s="20"/>
      <c r="F298" s="15"/>
      <c r="G298" s="15"/>
      <c r="H298" s="15"/>
      <c r="I298" s="15"/>
      <c r="J298" s="20"/>
      <c r="K298" s="8"/>
      <c r="L298" s="8"/>
    </row>
    <row r="299" spans="1:12" ht="15.75" thickBot="1">
      <c r="A299" s="8"/>
      <c r="B299" s="8"/>
      <c r="C299" s="8" t="s">
        <v>10</v>
      </c>
      <c r="D299" s="31">
        <f t="shared" ref="D299:I299" si="46">SUM(D296:D297)</f>
        <v>10531.91</v>
      </c>
      <c r="E299" s="31">
        <f t="shared" si="46"/>
        <v>920.48</v>
      </c>
      <c r="F299" s="30">
        <f t="shared" si="46"/>
        <v>90.62</v>
      </c>
      <c r="G299" s="30">
        <f t="shared" si="46"/>
        <v>0</v>
      </c>
      <c r="H299" s="30">
        <f t="shared" si="46"/>
        <v>0</v>
      </c>
      <c r="I299" s="30">
        <f t="shared" si="46"/>
        <v>0</v>
      </c>
      <c r="J299" s="31">
        <f>SUM(D299:I299)</f>
        <v>11543.01</v>
      </c>
      <c r="K299" s="8"/>
      <c r="L299" s="8"/>
    </row>
    <row r="300" spans="1:12" ht="15.75" thickTop="1">
      <c r="A300" s="8"/>
      <c r="B300" s="8"/>
      <c r="C300" s="8"/>
      <c r="D300" s="20"/>
      <c r="E300" s="20"/>
      <c r="F300" s="15"/>
      <c r="G300" s="15"/>
      <c r="H300" s="15"/>
      <c r="I300" s="15"/>
      <c r="J300" s="20"/>
      <c r="K300" s="8"/>
      <c r="L300" s="8"/>
    </row>
    <row r="301" spans="1:12">
      <c r="A301" s="8"/>
      <c r="B301" s="8"/>
      <c r="C301" s="8"/>
      <c r="D301" s="20"/>
      <c r="E301" s="20"/>
      <c r="F301" s="15"/>
      <c r="G301" s="15"/>
      <c r="H301" s="15"/>
      <c r="I301" s="15"/>
      <c r="J301" s="20"/>
      <c r="K301" s="8"/>
      <c r="L301" s="8"/>
    </row>
    <row r="302" spans="1:12">
      <c r="A302" s="8">
        <v>68</v>
      </c>
      <c r="B302" s="8" t="s">
        <v>63</v>
      </c>
      <c r="C302" s="8" t="s">
        <v>12</v>
      </c>
      <c r="D302" s="25">
        <v>6771.03</v>
      </c>
      <c r="E302" s="45">
        <v>0</v>
      </c>
      <c r="F302" s="24">
        <v>0</v>
      </c>
      <c r="G302" s="24">
        <v>0</v>
      </c>
      <c r="H302" s="24">
        <v>0</v>
      </c>
      <c r="I302" s="24">
        <v>0</v>
      </c>
      <c r="J302" s="25">
        <f>SUM(D302:I302)</f>
        <v>6771.03</v>
      </c>
      <c r="K302" s="8"/>
      <c r="L302" s="8"/>
    </row>
    <row r="303" spans="1:12" ht="15.75" hidden="1" thickBot="1">
      <c r="A303" s="8"/>
      <c r="B303" s="8"/>
      <c r="C303" s="8" t="s">
        <v>13</v>
      </c>
      <c r="D303" s="29"/>
      <c r="E303" s="34"/>
      <c r="F303" s="28"/>
      <c r="G303" s="28"/>
      <c r="H303" s="28"/>
      <c r="I303" s="28"/>
      <c r="J303" s="29"/>
      <c r="K303" s="8"/>
      <c r="L303" s="8"/>
    </row>
    <row r="304" spans="1:12">
      <c r="A304" s="8"/>
      <c r="B304" s="8"/>
      <c r="C304" s="8"/>
      <c r="D304" s="20"/>
      <c r="E304" s="35"/>
      <c r="F304" s="15"/>
      <c r="G304" s="15"/>
      <c r="H304" s="15"/>
      <c r="I304" s="15"/>
      <c r="J304" s="20"/>
      <c r="K304" s="8"/>
      <c r="L304" s="8"/>
    </row>
    <row r="305" spans="1:12" ht="15.75" thickBot="1">
      <c r="A305" s="8"/>
      <c r="B305" s="8"/>
      <c r="C305" s="8" t="s">
        <v>10</v>
      </c>
      <c r="D305" s="31">
        <f t="shared" ref="D305:I305" si="47">SUM(D302:D303)</f>
        <v>6771.03</v>
      </c>
      <c r="E305" s="44">
        <f t="shared" si="47"/>
        <v>0</v>
      </c>
      <c r="F305" s="30">
        <f t="shared" si="47"/>
        <v>0</v>
      </c>
      <c r="G305" s="30">
        <f t="shared" si="47"/>
        <v>0</v>
      </c>
      <c r="H305" s="30">
        <f t="shared" si="47"/>
        <v>0</v>
      </c>
      <c r="I305" s="30">
        <f t="shared" si="47"/>
        <v>0</v>
      </c>
      <c r="J305" s="31">
        <f>SUM(D305:I305)</f>
        <v>6771.03</v>
      </c>
      <c r="K305" s="8"/>
      <c r="L305" s="8"/>
    </row>
    <row r="306" spans="1:12" ht="15.75" thickTop="1">
      <c r="A306" s="8"/>
      <c r="B306" s="8"/>
      <c r="C306" s="8"/>
      <c r="D306" s="20"/>
      <c r="E306" s="20"/>
      <c r="F306" s="15"/>
      <c r="G306" s="15"/>
      <c r="H306" s="15"/>
      <c r="I306" s="15"/>
      <c r="J306" s="20"/>
      <c r="K306" s="8"/>
      <c r="L306" s="8"/>
    </row>
    <row r="307" spans="1:12">
      <c r="A307" s="8"/>
      <c r="B307" s="8"/>
      <c r="C307" s="8"/>
      <c r="D307" s="20"/>
      <c r="E307" s="20"/>
      <c r="F307" s="15"/>
      <c r="G307" s="15"/>
      <c r="H307" s="15"/>
      <c r="I307" s="15"/>
      <c r="J307" s="20"/>
      <c r="K307" s="8"/>
      <c r="L307" s="8"/>
    </row>
    <row r="308" spans="1:12">
      <c r="A308" s="8">
        <v>69</v>
      </c>
      <c r="B308" s="8" t="s">
        <v>64</v>
      </c>
      <c r="C308" s="8" t="s">
        <v>12</v>
      </c>
      <c r="D308" s="25">
        <v>8979.99</v>
      </c>
      <c r="E308" s="25">
        <v>267.24</v>
      </c>
      <c r="F308" s="24">
        <v>119.72</v>
      </c>
      <c r="G308" s="24">
        <v>0</v>
      </c>
      <c r="H308" s="24">
        <v>0</v>
      </c>
      <c r="I308" s="24">
        <v>0</v>
      </c>
      <c r="J308" s="25">
        <f>SUM(D308:I308)</f>
        <v>9366.9499999999989</v>
      </c>
      <c r="K308" s="8"/>
      <c r="L308" s="8"/>
    </row>
    <row r="309" spans="1:12" ht="15.75" hidden="1" thickBot="1">
      <c r="A309" s="8"/>
      <c r="B309" s="8"/>
      <c r="C309" s="8" t="s">
        <v>13</v>
      </c>
      <c r="D309" s="29"/>
      <c r="E309" s="29"/>
      <c r="F309" s="28"/>
      <c r="G309" s="28"/>
      <c r="H309" s="28"/>
      <c r="I309" s="28"/>
      <c r="J309" s="34">
        <v>0</v>
      </c>
      <c r="K309" s="8"/>
      <c r="L309" s="8"/>
    </row>
    <row r="310" spans="1:12">
      <c r="A310" s="8"/>
      <c r="B310" s="8"/>
      <c r="C310" s="8"/>
      <c r="D310" s="20"/>
      <c r="E310" s="20"/>
      <c r="F310" s="15"/>
      <c r="G310" s="15"/>
      <c r="H310" s="15"/>
      <c r="I310" s="15"/>
      <c r="J310" s="20"/>
      <c r="K310" s="8"/>
      <c r="L310" s="8"/>
    </row>
    <row r="311" spans="1:12" ht="15.75" thickBot="1">
      <c r="A311" s="8"/>
      <c r="B311" s="8"/>
      <c r="C311" s="8" t="s">
        <v>10</v>
      </c>
      <c r="D311" s="31">
        <f t="shared" ref="D311:I311" si="48">SUM(D308:D309)</f>
        <v>8979.99</v>
      </c>
      <c r="E311" s="31">
        <f t="shared" si="48"/>
        <v>267.24</v>
      </c>
      <c r="F311" s="30">
        <f t="shared" si="48"/>
        <v>119.72</v>
      </c>
      <c r="G311" s="30">
        <f t="shared" si="48"/>
        <v>0</v>
      </c>
      <c r="H311" s="30">
        <f t="shared" si="48"/>
        <v>0</v>
      </c>
      <c r="I311" s="30">
        <f t="shared" si="48"/>
        <v>0</v>
      </c>
      <c r="J311" s="31">
        <f>SUM(D311:I311)</f>
        <v>9366.9499999999989</v>
      </c>
      <c r="K311" s="8"/>
      <c r="L311" s="8"/>
    </row>
    <row r="312" spans="1:12" ht="15.75" thickTop="1">
      <c r="A312" s="8"/>
      <c r="B312" s="8"/>
      <c r="C312" s="8"/>
      <c r="D312" s="20"/>
      <c r="E312" s="20"/>
      <c r="F312" s="15"/>
      <c r="G312" s="15"/>
      <c r="H312" s="15"/>
      <c r="I312" s="15"/>
      <c r="J312" s="20"/>
      <c r="K312" s="8"/>
      <c r="L312" s="8"/>
    </row>
    <row r="313" spans="1:12">
      <c r="A313" s="8"/>
      <c r="B313" s="8"/>
      <c r="C313" s="8"/>
      <c r="D313" s="20"/>
      <c r="E313" s="20"/>
      <c r="F313" s="15"/>
      <c r="G313" s="15"/>
      <c r="H313" s="15"/>
      <c r="I313" s="15"/>
      <c r="J313" s="20"/>
      <c r="K313" s="8"/>
      <c r="L313" s="8"/>
    </row>
    <row r="314" spans="1:12">
      <c r="A314" s="8">
        <v>70</v>
      </c>
      <c r="B314" s="8" t="s">
        <v>65</v>
      </c>
      <c r="C314" s="8" t="s">
        <v>12</v>
      </c>
      <c r="D314" s="25">
        <v>8257.64</v>
      </c>
      <c r="E314" s="45">
        <v>0</v>
      </c>
      <c r="F314" s="24">
        <v>0</v>
      </c>
      <c r="G314" s="24">
        <v>0</v>
      </c>
      <c r="H314" s="24">
        <v>0</v>
      </c>
      <c r="I314" s="24">
        <v>0</v>
      </c>
      <c r="J314" s="25">
        <f>SUM(D314:I314)</f>
        <v>8257.64</v>
      </c>
      <c r="K314" s="8"/>
      <c r="L314" s="8"/>
    </row>
    <row r="315" spans="1:12" ht="15.75" hidden="1" thickBot="1">
      <c r="A315" s="8"/>
      <c r="B315" s="8"/>
      <c r="C315" s="8" t="s">
        <v>78</v>
      </c>
      <c r="D315" s="29"/>
      <c r="E315" s="34"/>
      <c r="F315" s="28"/>
      <c r="G315" s="28"/>
      <c r="H315" s="28"/>
      <c r="I315" s="28"/>
      <c r="J315" s="29">
        <f>SUM(D315:I315)</f>
        <v>0</v>
      </c>
      <c r="K315" s="8"/>
      <c r="L315" s="8"/>
    </row>
    <row r="316" spans="1:12">
      <c r="A316" s="8"/>
      <c r="B316" s="8"/>
      <c r="C316" s="8"/>
      <c r="D316" s="20"/>
      <c r="E316" s="35"/>
      <c r="F316" s="15"/>
      <c r="G316" s="15"/>
      <c r="H316" s="15"/>
      <c r="I316" s="15"/>
      <c r="J316" s="20"/>
      <c r="K316" s="8"/>
      <c r="L316" s="8"/>
    </row>
    <row r="317" spans="1:12" ht="15.75" thickBot="1">
      <c r="A317" s="8"/>
      <c r="B317" s="8"/>
      <c r="C317" s="8" t="s">
        <v>10</v>
      </c>
      <c r="D317" s="31">
        <f t="shared" ref="D317:I317" si="49">SUM(D314:D316)</f>
        <v>8257.64</v>
      </c>
      <c r="E317" s="44">
        <f t="shared" si="49"/>
        <v>0</v>
      </c>
      <c r="F317" s="30">
        <f t="shared" si="49"/>
        <v>0</v>
      </c>
      <c r="G317" s="30">
        <f t="shared" si="49"/>
        <v>0</v>
      </c>
      <c r="H317" s="30">
        <f t="shared" si="49"/>
        <v>0</v>
      </c>
      <c r="I317" s="30">
        <f t="shared" si="49"/>
        <v>0</v>
      </c>
      <c r="J317" s="31">
        <f>SUM(D317:I317)</f>
        <v>8257.64</v>
      </c>
      <c r="K317" s="8"/>
      <c r="L317" s="8"/>
    </row>
    <row r="318" spans="1:12" ht="15.75" thickTop="1">
      <c r="A318" s="8"/>
      <c r="B318" s="8"/>
      <c r="C318" s="8"/>
      <c r="D318" s="20"/>
      <c r="E318" s="20"/>
      <c r="F318" s="15"/>
      <c r="G318" s="15"/>
      <c r="H318" s="15"/>
      <c r="I318" s="15"/>
      <c r="J318" s="20"/>
      <c r="K318" s="8"/>
      <c r="L318" s="8"/>
    </row>
    <row r="319" spans="1:12">
      <c r="A319" s="8"/>
      <c r="B319" s="8"/>
      <c r="C319" s="8" t="s">
        <v>66</v>
      </c>
      <c r="D319" s="20">
        <f t="shared" ref="D319:I319" si="50">SUM(D9:D317)/2</f>
        <v>659525.95999999985</v>
      </c>
      <c r="E319" s="20">
        <f t="shared" si="50"/>
        <v>14599.140000000003</v>
      </c>
      <c r="F319" s="15">
        <f t="shared" si="50"/>
        <v>7643.85</v>
      </c>
      <c r="G319" s="15">
        <f t="shared" si="50"/>
        <v>34.42</v>
      </c>
      <c r="H319" s="15">
        <f t="shared" si="50"/>
        <v>41.56</v>
      </c>
      <c r="I319" s="15">
        <f t="shared" si="50"/>
        <v>24.47</v>
      </c>
      <c r="J319" s="20">
        <f>SUM(D319:I319)</f>
        <v>681869.39999999991</v>
      </c>
      <c r="K319" s="8"/>
      <c r="L319" s="8"/>
    </row>
    <row r="320" spans="1:12">
      <c r="A320" s="8"/>
      <c r="B320" s="8"/>
      <c r="C320" s="8"/>
      <c r="D320" s="20"/>
      <c r="E320" s="20"/>
      <c r="F320" s="15"/>
      <c r="G320" s="8"/>
      <c r="H320" s="8"/>
      <c r="I320" s="8"/>
      <c r="J320" s="20"/>
      <c r="K320" s="8"/>
      <c r="L320" s="8"/>
    </row>
    <row r="321" spans="1:12">
      <c r="A321" s="8"/>
      <c r="B321" s="8"/>
      <c r="C321" s="8"/>
      <c r="D321" s="20"/>
      <c r="E321" s="20"/>
      <c r="F321" s="8"/>
      <c r="G321" s="8"/>
      <c r="H321" s="8"/>
      <c r="I321" s="8"/>
      <c r="J321" s="20"/>
      <c r="K321" s="8"/>
      <c r="L321" s="8"/>
    </row>
  </sheetData>
  <pageMargins left="0.25" right="0.25" top="0.25" bottom="0.25" header="0.5" footer="0.5"/>
  <pageSetup scale="70" fitToHeight="50" orientation="landscape" r:id="rId1"/>
  <headerFooter alignWithMargins="0"/>
  <rowBreaks count="51" manualBreakCount="51">
    <brk id="7" max="65535" man="1"/>
    <brk id="13" max="16383" man="1"/>
    <brk id="19" max="16383" man="1"/>
    <brk id="25" max="16383" man="1"/>
    <brk id="31" max="16383" man="1"/>
    <brk id="37" max="16383" man="1"/>
    <brk id="44" max="16383" man="1"/>
    <brk id="49" max="65535" man="1"/>
    <brk id="57" max="16383" man="1"/>
    <brk id="65" max="16383" man="1"/>
    <brk id="71" max="16383" man="1"/>
    <brk id="77" max="16383" man="1"/>
    <brk id="85" max="16383" man="1"/>
    <brk id="91" max="16383" man="1"/>
    <brk id="99" max="16383" man="1"/>
    <brk id="104" max="16383" man="1"/>
    <brk id="111" max="16383" man="1"/>
    <brk id="116" max="16383" man="1"/>
    <brk id="124" max="16383" man="1"/>
    <brk id="128" max="9" man="1"/>
    <brk id="134" max="16383" man="1"/>
    <brk id="141" max="16383" man="1"/>
    <brk id="147" max="16383" man="1"/>
    <brk id="155" max="16383" man="1"/>
    <brk id="160" max="9" man="1"/>
    <brk id="165" max="16383" man="1"/>
    <brk id="170" max="16383" man="1"/>
    <brk id="175" max="16383" man="1"/>
    <brk id="180" max="16383" man="1"/>
    <brk id="185" max="16383" man="1"/>
    <brk id="191" max="16383" man="1"/>
    <brk id="198" max="16383" man="1"/>
    <brk id="204" max="16383" man="1"/>
    <brk id="212" max="16383" man="1"/>
    <brk id="218" max="16383" man="1"/>
    <brk id="224" max="16383" man="1"/>
    <brk id="230" max="16383" man="1"/>
    <brk id="236" max="16383" man="1"/>
    <brk id="242" max="16383" man="1"/>
    <brk id="248" max="16383" man="1"/>
    <brk id="257" max="16383" man="1"/>
    <brk id="264" max="16383" man="1"/>
    <brk id="270" max="16383" man="1"/>
    <brk id="276" max="16383" man="1"/>
    <brk id="281" max="16383" man="1"/>
    <brk id="287" max="16383" man="1"/>
    <brk id="294" max="16383" man="1"/>
    <brk id="300" max="16383" man="1"/>
    <brk id="306" max="16383" man="1"/>
    <brk id="312" max="16383" man="1"/>
    <brk id="31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/>
  </sheetPr>
  <dimension ref="A1:L324"/>
  <sheetViews>
    <sheetView showOutlineSymbols="0" defaultGridColor="0" view="pageBreakPreview" topLeftCell="A269" colorId="23" zoomScale="60" zoomScaleNormal="75" workbookViewId="0">
      <selection activeCell="J322" sqref="J322"/>
    </sheetView>
  </sheetViews>
  <sheetFormatPr defaultColWidth="9.6640625" defaultRowHeight="15"/>
  <cols>
    <col min="1" max="1" width="9.6640625" style="10" customWidth="1"/>
    <col min="2" max="2" width="27.44140625" style="10" bestFit="1" customWidth="1"/>
    <col min="3" max="3" width="24.44140625" style="10" bestFit="1" customWidth="1"/>
    <col min="4" max="5" width="12.77734375" style="23" customWidth="1"/>
    <col min="6" max="6" width="12.6640625" style="10" customWidth="1"/>
    <col min="7" max="8" width="11.6640625" style="10" customWidth="1"/>
    <col min="9" max="9" width="9.6640625" style="10" customWidth="1"/>
    <col min="10" max="10" width="14.44140625" style="23" customWidth="1"/>
    <col min="11" max="16384" width="9.6640625" style="10"/>
  </cols>
  <sheetData>
    <row r="1" spans="1:12">
      <c r="A1" s="8"/>
      <c r="B1" s="8"/>
      <c r="C1" s="8"/>
      <c r="D1" s="20"/>
      <c r="E1" s="20"/>
      <c r="F1" s="8"/>
      <c r="G1" s="8"/>
      <c r="H1" s="8"/>
      <c r="I1" s="9"/>
      <c r="J1" s="20"/>
      <c r="K1" s="8"/>
      <c r="L1" s="8"/>
    </row>
    <row r="2" spans="1:12">
      <c r="A2" s="8"/>
      <c r="B2" s="8"/>
      <c r="C2" s="8"/>
      <c r="D2" s="20"/>
      <c r="E2" s="20"/>
      <c r="F2" s="8"/>
      <c r="G2" s="8"/>
      <c r="H2" s="8"/>
      <c r="I2" s="8"/>
      <c r="J2" s="20"/>
      <c r="K2" s="8"/>
      <c r="L2" s="8"/>
    </row>
    <row r="3" spans="1:12">
      <c r="A3" s="8"/>
      <c r="B3" s="8"/>
      <c r="C3" s="8"/>
      <c r="D3" s="20"/>
      <c r="E3" s="20"/>
      <c r="F3" s="8"/>
      <c r="G3" s="8"/>
      <c r="H3" s="8"/>
      <c r="I3" s="8"/>
      <c r="J3" s="20"/>
      <c r="K3" s="8"/>
      <c r="L3" s="8"/>
    </row>
    <row r="4" spans="1:12" ht="15.75">
      <c r="A4" s="8"/>
      <c r="B4" s="11" t="s">
        <v>1</v>
      </c>
      <c r="C4" s="9"/>
      <c r="D4" s="21"/>
      <c r="E4" s="21"/>
      <c r="F4" s="9"/>
      <c r="G4" s="9"/>
      <c r="H4" s="9"/>
      <c r="I4" s="9"/>
      <c r="J4" s="21"/>
      <c r="K4" s="8"/>
      <c r="L4" s="8"/>
    </row>
    <row r="5" spans="1:12" ht="15.75">
      <c r="A5" s="8"/>
      <c r="B5" s="11" t="s">
        <v>111</v>
      </c>
      <c r="C5" s="9"/>
      <c r="D5" s="21"/>
      <c r="E5" s="21"/>
      <c r="F5" s="9"/>
      <c r="G5" s="9"/>
      <c r="H5" s="9"/>
      <c r="I5" s="9"/>
      <c r="J5" s="21"/>
      <c r="K5" s="8"/>
      <c r="L5" s="8"/>
    </row>
    <row r="6" spans="1:12">
      <c r="A6" s="8"/>
      <c r="B6" s="8"/>
      <c r="C6" s="8"/>
      <c r="D6" s="20"/>
      <c r="E6" s="20"/>
      <c r="F6" s="8"/>
      <c r="G6" s="8"/>
      <c r="H6" s="8"/>
      <c r="I6" s="8"/>
      <c r="J6" s="20"/>
      <c r="K6" s="8"/>
      <c r="L6" s="8"/>
    </row>
    <row r="7" spans="1:12">
      <c r="A7" s="8"/>
      <c r="B7" s="12" t="s">
        <v>3</v>
      </c>
      <c r="C7" s="12" t="s">
        <v>4</v>
      </c>
      <c r="D7" s="37">
        <v>2011</v>
      </c>
      <c r="E7" s="37">
        <v>2010</v>
      </c>
      <c r="F7" s="13">
        <v>2009</v>
      </c>
      <c r="G7" s="13">
        <v>2008</v>
      </c>
      <c r="H7" s="13">
        <v>2007</v>
      </c>
      <c r="I7" s="14">
        <v>2006</v>
      </c>
      <c r="J7" s="22" t="s">
        <v>10</v>
      </c>
      <c r="K7" s="8"/>
      <c r="L7" s="8"/>
    </row>
    <row r="8" spans="1:12">
      <c r="A8" s="8"/>
      <c r="B8" s="8"/>
      <c r="C8" s="8"/>
      <c r="D8" s="20"/>
      <c r="E8" s="20"/>
      <c r="F8" s="8"/>
      <c r="G8" s="8"/>
      <c r="H8" s="8"/>
      <c r="I8" s="8"/>
      <c r="J8" s="20"/>
      <c r="K8" s="8"/>
      <c r="L8" s="8"/>
    </row>
    <row r="9" spans="1:12">
      <c r="A9" s="8">
        <v>21</v>
      </c>
      <c r="B9" s="8" t="s">
        <v>11</v>
      </c>
      <c r="C9" s="8" t="s">
        <v>12</v>
      </c>
      <c r="D9" s="20">
        <v>11040.33</v>
      </c>
      <c r="E9" s="20">
        <v>111.93</v>
      </c>
      <c r="F9" s="15">
        <v>113.42</v>
      </c>
      <c r="G9" s="15">
        <v>0</v>
      </c>
      <c r="H9" s="15">
        <v>0</v>
      </c>
      <c r="I9" s="15">
        <v>0</v>
      </c>
      <c r="J9" s="20">
        <f>SUM(D9:I9)</f>
        <v>11265.68</v>
      </c>
      <c r="K9" s="8"/>
      <c r="L9" s="8"/>
    </row>
    <row r="10" spans="1:12" ht="15.75" thickBot="1">
      <c r="A10" s="8"/>
      <c r="B10" s="8"/>
      <c r="C10" s="8" t="s">
        <v>13</v>
      </c>
      <c r="D10" s="29">
        <v>159.13</v>
      </c>
      <c r="E10" s="29">
        <v>2.1</v>
      </c>
      <c r="F10" s="28">
        <v>2.0299999999999998</v>
      </c>
      <c r="G10" s="28">
        <v>0</v>
      </c>
      <c r="H10" s="28">
        <v>0</v>
      </c>
      <c r="I10" s="28">
        <v>0</v>
      </c>
      <c r="J10" s="29">
        <f>SUM(D10:I10)</f>
        <v>163.26</v>
      </c>
      <c r="K10" s="8"/>
      <c r="L10" s="8"/>
    </row>
    <row r="11" spans="1:12">
      <c r="A11" s="8"/>
      <c r="B11" s="8"/>
      <c r="C11" s="8"/>
      <c r="D11" s="20"/>
      <c r="E11" s="20"/>
      <c r="F11" s="15"/>
      <c r="G11" s="15"/>
      <c r="H11" s="15"/>
      <c r="I11" s="15"/>
      <c r="J11" s="20"/>
      <c r="K11" s="8"/>
      <c r="L11" s="8"/>
    </row>
    <row r="12" spans="1:12" ht="15.75" thickBot="1">
      <c r="A12" s="8"/>
      <c r="B12" s="8"/>
      <c r="C12" s="8" t="s">
        <v>10</v>
      </c>
      <c r="D12" s="31">
        <f t="shared" ref="D12:I12" si="0">SUM(D9:D10)</f>
        <v>11199.46</v>
      </c>
      <c r="E12" s="31">
        <f t="shared" si="0"/>
        <v>114.03</v>
      </c>
      <c r="F12" s="30">
        <f t="shared" si="0"/>
        <v>115.45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>SUM(D12:I12)</f>
        <v>11428.94</v>
      </c>
      <c r="K12" s="8"/>
      <c r="L12" s="8"/>
    </row>
    <row r="13" spans="1:12" ht="15.75" thickTop="1">
      <c r="A13" s="8"/>
      <c r="B13" s="8"/>
      <c r="C13" s="8"/>
      <c r="D13" s="20"/>
      <c r="E13" s="20"/>
      <c r="F13" s="15"/>
      <c r="G13" s="8"/>
      <c r="H13" s="8"/>
      <c r="I13" s="8"/>
      <c r="J13" s="20"/>
      <c r="K13" s="8"/>
      <c r="L13" s="8"/>
    </row>
    <row r="14" spans="1:12">
      <c r="A14" s="8"/>
      <c r="B14" s="8"/>
      <c r="C14" s="8"/>
      <c r="D14" s="20"/>
      <c r="E14" s="20"/>
      <c r="F14" s="15"/>
      <c r="G14" s="8"/>
      <c r="H14" s="8"/>
      <c r="I14" s="8"/>
      <c r="J14" s="20"/>
      <c r="K14" s="8"/>
      <c r="L14" s="8"/>
    </row>
    <row r="15" spans="1:12">
      <c r="A15" s="8">
        <v>22</v>
      </c>
      <c r="B15" s="8" t="s">
        <v>15</v>
      </c>
      <c r="C15" s="8" t="s">
        <v>12</v>
      </c>
      <c r="D15" s="20">
        <v>13348.4</v>
      </c>
      <c r="E15" s="20">
        <v>295.08999999999997</v>
      </c>
      <c r="F15" s="15">
        <v>0.66</v>
      </c>
      <c r="G15" s="15">
        <v>0</v>
      </c>
      <c r="H15" s="15">
        <v>0</v>
      </c>
      <c r="I15" s="15">
        <v>0</v>
      </c>
      <c r="J15" s="20">
        <f>SUM(D15:I15)</f>
        <v>13644.15</v>
      </c>
      <c r="K15" s="8"/>
      <c r="L15" s="8"/>
    </row>
    <row r="16" spans="1:12" ht="15.75" thickBot="1">
      <c r="A16" s="8"/>
      <c r="B16" s="8"/>
      <c r="C16" s="8" t="s">
        <v>13</v>
      </c>
      <c r="D16" s="29">
        <v>325.32</v>
      </c>
      <c r="E16" s="29">
        <v>6.56</v>
      </c>
      <c r="F16" s="28">
        <v>0.15</v>
      </c>
      <c r="G16" s="28">
        <v>0</v>
      </c>
      <c r="H16" s="28">
        <v>0</v>
      </c>
      <c r="I16" s="28">
        <v>0</v>
      </c>
      <c r="J16" s="29">
        <f>SUM(D16:I16)</f>
        <v>332.03</v>
      </c>
      <c r="K16" s="8"/>
      <c r="L16" s="8"/>
    </row>
    <row r="17" spans="1:12">
      <c r="A17" s="8"/>
      <c r="B17" s="8"/>
      <c r="C17" s="8"/>
      <c r="D17" s="20"/>
      <c r="E17" s="20"/>
      <c r="F17" s="15"/>
      <c r="G17" s="15"/>
      <c r="H17" s="15"/>
      <c r="I17" s="15"/>
      <c r="J17" s="20"/>
      <c r="K17" s="8"/>
      <c r="L17" s="8"/>
    </row>
    <row r="18" spans="1:12" ht="15.75" thickBot="1">
      <c r="A18" s="8"/>
      <c r="B18" s="8"/>
      <c r="C18" s="8" t="s">
        <v>10</v>
      </c>
      <c r="D18" s="31">
        <f t="shared" ref="D18:I18" si="1">SUM(D15:D16)</f>
        <v>13673.72</v>
      </c>
      <c r="E18" s="31">
        <f t="shared" si="1"/>
        <v>301.64999999999998</v>
      </c>
      <c r="F18" s="30">
        <f t="shared" si="1"/>
        <v>0.81</v>
      </c>
      <c r="G18" s="30">
        <f t="shared" si="1"/>
        <v>0</v>
      </c>
      <c r="H18" s="30">
        <f t="shared" si="1"/>
        <v>0</v>
      </c>
      <c r="I18" s="30">
        <f t="shared" si="1"/>
        <v>0</v>
      </c>
      <c r="J18" s="31">
        <f>SUM(D18:I18)</f>
        <v>13976.179999999998</v>
      </c>
      <c r="K18" s="8"/>
      <c r="L18" s="8"/>
    </row>
    <row r="19" spans="1:12" ht="15.75" thickTop="1">
      <c r="A19" s="8"/>
      <c r="B19" s="8"/>
      <c r="C19" s="8"/>
      <c r="D19" s="20"/>
      <c r="E19" s="20"/>
      <c r="F19" s="15"/>
      <c r="G19" s="15"/>
      <c r="H19" s="15"/>
      <c r="I19" s="15"/>
      <c r="J19" s="20"/>
      <c r="K19" s="8"/>
      <c r="L19" s="8"/>
    </row>
    <row r="20" spans="1:12">
      <c r="A20" s="8"/>
      <c r="B20" s="8"/>
      <c r="C20" s="8"/>
      <c r="D20" s="20"/>
      <c r="E20" s="20"/>
      <c r="F20" s="15"/>
      <c r="G20" s="15"/>
      <c r="H20" s="15"/>
      <c r="I20" s="15"/>
      <c r="J20" s="20"/>
      <c r="K20" s="8"/>
      <c r="L20" s="8"/>
    </row>
    <row r="21" spans="1:12">
      <c r="A21" s="8">
        <v>23</v>
      </c>
      <c r="B21" s="8" t="s">
        <v>16</v>
      </c>
      <c r="C21" s="8" t="s">
        <v>12</v>
      </c>
      <c r="D21" s="25">
        <v>11587.75</v>
      </c>
      <c r="E21" s="25">
        <v>493.97</v>
      </c>
      <c r="F21" s="24">
        <v>531.49</v>
      </c>
      <c r="G21" s="24">
        <v>0</v>
      </c>
      <c r="H21" s="24">
        <v>0</v>
      </c>
      <c r="I21" s="24">
        <v>0</v>
      </c>
      <c r="J21" s="25">
        <f>SUM(D21:I21)</f>
        <v>12613.21</v>
      </c>
      <c r="K21" s="8"/>
      <c r="L21" s="8"/>
    </row>
    <row r="22" spans="1:12" ht="15.75" hidden="1" thickBot="1">
      <c r="A22" s="8"/>
      <c r="B22" s="8"/>
      <c r="C22" s="8" t="s">
        <v>13</v>
      </c>
      <c r="D22" s="29"/>
      <c r="E22" s="29"/>
      <c r="F22" s="28"/>
      <c r="G22" s="28"/>
      <c r="H22" s="28"/>
      <c r="I22" s="28"/>
      <c r="J22" s="29">
        <f>SUM(D22:I22)</f>
        <v>0</v>
      </c>
      <c r="K22" s="8"/>
      <c r="L22" s="8"/>
    </row>
    <row r="23" spans="1:12">
      <c r="A23" s="8"/>
      <c r="B23" s="8"/>
      <c r="C23" s="8"/>
      <c r="D23" s="20"/>
      <c r="E23" s="20"/>
      <c r="F23" s="15"/>
      <c r="G23" s="15"/>
      <c r="H23" s="15"/>
      <c r="I23" s="15"/>
      <c r="J23" s="20"/>
      <c r="K23" s="8"/>
      <c r="L23" s="8"/>
    </row>
    <row r="24" spans="1:12" ht="15.75" thickBot="1">
      <c r="A24" s="8"/>
      <c r="B24" s="8"/>
      <c r="C24" s="8" t="s">
        <v>10</v>
      </c>
      <c r="D24" s="31">
        <f t="shared" ref="D24:I24" si="2">SUM(D21:D22)</f>
        <v>11587.75</v>
      </c>
      <c r="E24" s="31">
        <f t="shared" si="2"/>
        <v>493.97</v>
      </c>
      <c r="F24" s="30">
        <f t="shared" si="2"/>
        <v>531.49</v>
      </c>
      <c r="G24" s="30">
        <f t="shared" si="2"/>
        <v>0</v>
      </c>
      <c r="H24" s="30">
        <f t="shared" si="2"/>
        <v>0</v>
      </c>
      <c r="I24" s="30">
        <f t="shared" si="2"/>
        <v>0</v>
      </c>
      <c r="J24" s="31">
        <f>SUM(D24:I24)</f>
        <v>12613.21</v>
      </c>
      <c r="K24" s="8"/>
      <c r="L24" s="8"/>
    </row>
    <row r="25" spans="1:12" ht="15.75" thickTop="1">
      <c r="A25" s="8"/>
      <c r="B25" s="8"/>
      <c r="C25" s="8"/>
      <c r="D25" s="20"/>
      <c r="E25" s="20"/>
      <c r="F25" s="15"/>
      <c r="G25" s="15"/>
      <c r="H25" s="15"/>
      <c r="I25" s="15"/>
      <c r="J25" s="20"/>
      <c r="K25" s="8"/>
      <c r="L25" s="8"/>
    </row>
    <row r="26" spans="1:12">
      <c r="A26" s="8"/>
      <c r="B26" s="8"/>
      <c r="C26" s="8"/>
      <c r="D26" s="20"/>
      <c r="E26" s="20"/>
      <c r="F26" s="15"/>
      <c r="G26" s="8"/>
      <c r="H26" s="8"/>
      <c r="I26" s="8"/>
      <c r="J26" s="20"/>
      <c r="K26" s="8"/>
      <c r="L26" s="8"/>
    </row>
    <row r="27" spans="1:12">
      <c r="A27" s="8"/>
      <c r="B27" s="8"/>
      <c r="C27" s="8"/>
      <c r="D27" s="20"/>
      <c r="E27" s="20"/>
      <c r="F27" s="15"/>
      <c r="G27" s="15"/>
      <c r="H27" s="15"/>
      <c r="I27" s="15"/>
      <c r="J27" s="20"/>
      <c r="K27" s="8"/>
      <c r="L27" s="8"/>
    </row>
    <row r="28" spans="1:12" ht="15.75" thickBot="1">
      <c r="A28" s="8">
        <v>24</v>
      </c>
      <c r="B28" s="8" t="s">
        <v>17</v>
      </c>
      <c r="C28" s="8" t="s">
        <v>12</v>
      </c>
      <c r="D28" s="29">
        <v>8255.4</v>
      </c>
      <c r="E28" s="29">
        <v>28.03</v>
      </c>
      <c r="F28" s="28">
        <v>0</v>
      </c>
      <c r="G28" s="28">
        <v>0</v>
      </c>
      <c r="H28" s="28">
        <v>0</v>
      </c>
      <c r="I28" s="28">
        <v>0</v>
      </c>
      <c r="J28" s="29">
        <f>SUM(D28:I28)</f>
        <v>8283.43</v>
      </c>
      <c r="K28" s="8"/>
      <c r="L28" s="8"/>
    </row>
    <row r="29" spans="1:12">
      <c r="A29" s="8"/>
      <c r="B29" s="8"/>
      <c r="C29" s="8"/>
      <c r="D29" s="20"/>
      <c r="E29" s="20"/>
      <c r="F29" s="15"/>
      <c r="G29" s="15"/>
      <c r="H29" s="15"/>
      <c r="I29" s="15"/>
      <c r="J29" s="20"/>
      <c r="K29" s="8"/>
      <c r="L29" s="8"/>
    </row>
    <row r="30" spans="1:12" ht="15.75" thickBot="1">
      <c r="A30" s="8"/>
      <c r="B30" s="8"/>
      <c r="C30" s="8" t="s">
        <v>10</v>
      </c>
      <c r="D30" s="31">
        <f t="shared" ref="D30:I30" si="3">SUM(D28:D29)</f>
        <v>8255.4</v>
      </c>
      <c r="E30" s="31">
        <f t="shared" si="3"/>
        <v>28.03</v>
      </c>
      <c r="F30" s="30">
        <f t="shared" si="3"/>
        <v>0</v>
      </c>
      <c r="G30" s="30">
        <f t="shared" si="3"/>
        <v>0</v>
      </c>
      <c r="H30" s="30">
        <f t="shared" si="3"/>
        <v>0</v>
      </c>
      <c r="I30" s="30">
        <f t="shared" si="3"/>
        <v>0</v>
      </c>
      <c r="J30" s="31">
        <f>SUM(D30:I30)</f>
        <v>8283.43</v>
      </c>
      <c r="K30" s="8"/>
      <c r="L30" s="8"/>
    </row>
    <row r="31" spans="1:12" ht="15.75" thickTop="1">
      <c r="A31" s="8"/>
      <c r="B31" s="8"/>
      <c r="C31" s="8"/>
      <c r="D31" s="20"/>
      <c r="E31" s="20"/>
      <c r="F31" s="15"/>
      <c r="G31" s="15"/>
      <c r="H31" s="15"/>
      <c r="I31" s="15"/>
      <c r="J31" s="20"/>
      <c r="K31" s="8"/>
      <c r="L31" s="8"/>
    </row>
    <row r="32" spans="1:12">
      <c r="A32" s="8"/>
      <c r="B32" s="8"/>
      <c r="C32" s="8"/>
      <c r="D32" s="20"/>
      <c r="E32" s="20"/>
      <c r="F32" s="15"/>
      <c r="G32" s="8"/>
      <c r="H32" s="8"/>
      <c r="I32" s="8"/>
      <c r="J32" s="20"/>
      <c r="K32" s="8"/>
      <c r="L32" s="8"/>
    </row>
    <row r="33" spans="1:12">
      <c r="A33" s="8"/>
      <c r="B33" s="8"/>
      <c r="C33" s="8"/>
      <c r="D33" s="20"/>
      <c r="E33" s="20"/>
      <c r="F33" s="15"/>
      <c r="G33" s="15"/>
      <c r="H33" s="15"/>
      <c r="I33" s="15"/>
      <c r="J33" s="20"/>
      <c r="K33" s="8"/>
      <c r="L33" s="8"/>
    </row>
    <row r="34" spans="1:12" ht="15.75" thickBot="1">
      <c r="A34" s="8">
        <v>25</v>
      </c>
      <c r="B34" s="8" t="s">
        <v>18</v>
      </c>
      <c r="C34" s="8" t="s">
        <v>12</v>
      </c>
      <c r="D34" s="29">
        <v>2791.21</v>
      </c>
      <c r="E34" s="29">
        <v>125.35</v>
      </c>
      <c r="F34" s="28">
        <v>222.3</v>
      </c>
      <c r="G34" s="28">
        <v>0</v>
      </c>
      <c r="H34" s="28">
        <v>0</v>
      </c>
      <c r="I34" s="28">
        <v>0</v>
      </c>
      <c r="J34" s="29">
        <f>SUM(D34:I34)</f>
        <v>3138.86</v>
      </c>
      <c r="K34" s="8"/>
      <c r="L34" s="8"/>
    </row>
    <row r="35" spans="1:12">
      <c r="A35" s="8"/>
      <c r="B35" s="8"/>
      <c r="C35" s="8"/>
      <c r="D35" s="20"/>
      <c r="E35" s="20"/>
      <c r="F35" s="15"/>
      <c r="G35" s="15"/>
      <c r="H35" s="15"/>
      <c r="I35" s="15"/>
      <c r="J35" s="20"/>
      <c r="K35" s="8"/>
      <c r="L35" s="8"/>
    </row>
    <row r="36" spans="1:12" ht="15.75" thickBot="1">
      <c r="A36" s="8"/>
      <c r="B36" s="8"/>
      <c r="C36" s="8" t="s">
        <v>10</v>
      </c>
      <c r="D36" s="31">
        <f t="shared" ref="D36:I36" si="4">SUM(D34:D35)</f>
        <v>2791.21</v>
      </c>
      <c r="E36" s="31">
        <f t="shared" si="4"/>
        <v>125.35</v>
      </c>
      <c r="F36" s="30">
        <f t="shared" si="4"/>
        <v>222.3</v>
      </c>
      <c r="G36" s="30">
        <f t="shared" si="4"/>
        <v>0</v>
      </c>
      <c r="H36" s="30">
        <f t="shared" si="4"/>
        <v>0</v>
      </c>
      <c r="I36" s="30">
        <f t="shared" si="4"/>
        <v>0</v>
      </c>
      <c r="J36" s="31">
        <f>SUM(D36:I36)</f>
        <v>3138.86</v>
      </c>
      <c r="K36" s="8"/>
      <c r="L36" s="8"/>
    </row>
    <row r="37" spans="1:12" ht="15.75" thickTop="1">
      <c r="A37" s="8"/>
      <c r="B37" s="8"/>
      <c r="C37" s="8"/>
      <c r="D37" s="20"/>
      <c r="E37" s="20"/>
      <c r="F37" s="15"/>
      <c r="G37" s="8"/>
      <c r="H37" s="8"/>
      <c r="I37" s="8"/>
      <c r="J37" s="20"/>
      <c r="K37" s="8"/>
      <c r="L37" s="8"/>
    </row>
    <row r="38" spans="1:12">
      <c r="A38" s="8"/>
      <c r="B38" s="8"/>
      <c r="C38" s="8"/>
      <c r="D38" s="20"/>
      <c r="E38" s="20"/>
      <c r="F38" s="15"/>
      <c r="G38" s="15"/>
      <c r="H38" s="15"/>
      <c r="I38" s="15"/>
      <c r="J38" s="20"/>
      <c r="K38" s="8"/>
      <c r="L38" s="8"/>
    </row>
    <row r="39" spans="1:12">
      <c r="A39" s="8"/>
      <c r="B39" s="8"/>
      <c r="C39" s="8"/>
      <c r="D39" s="20"/>
      <c r="E39" s="20"/>
      <c r="F39" s="15"/>
      <c r="G39" s="15"/>
      <c r="H39" s="15"/>
      <c r="I39" s="15"/>
      <c r="J39" s="20"/>
      <c r="K39" s="8"/>
      <c r="L39" s="8"/>
    </row>
    <row r="40" spans="1:12">
      <c r="A40" s="8">
        <v>26</v>
      </c>
      <c r="B40" s="8" t="s">
        <v>19</v>
      </c>
      <c r="C40" s="8" t="s">
        <v>12</v>
      </c>
      <c r="D40" s="20">
        <v>9039.02</v>
      </c>
      <c r="E40" s="35">
        <v>0</v>
      </c>
      <c r="F40" s="15">
        <v>0</v>
      </c>
      <c r="G40" s="15">
        <v>0</v>
      </c>
      <c r="H40" s="15">
        <v>0</v>
      </c>
      <c r="I40" s="15">
        <v>0</v>
      </c>
      <c r="J40" s="20">
        <f>SUM(D40:I40)</f>
        <v>9039.02</v>
      </c>
      <c r="K40" s="8"/>
      <c r="L40" s="8"/>
    </row>
    <row r="41" spans="1:12" ht="15.75" thickBot="1">
      <c r="A41" s="8"/>
      <c r="B41" s="8"/>
      <c r="C41" s="8" t="s">
        <v>13</v>
      </c>
      <c r="D41" s="29">
        <v>133.76</v>
      </c>
      <c r="E41" s="34">
        <v>0</v>
      </c>
      <c r="F41" s="28">
        <v>0</v>
      </c>
      <c r="G41" s="28">
        <v>0</v>
      </c>
      <c r="H41" s="28">
        <v>0</v>
      </c>
      <c r="I41" s="28">
        <v>0</v>
      </c>
      <c r="J41" s="29">
        <f>SUM(D41:I41)</f>
        <v>133.76</v>
      </c>
      <c r="K41" s="8"/>
      <c r="L41" s="8"/>
    </row>
    <row r="42" spans="1:12">
      <c r="A42" s="8"/>
      <c r="B42" s="8"/>
      <c r="C42" s="8"/>
      <c r="D42" s="20"/>
      <c r="E42" s="35"/>
      <c r="F42" s="15"/>
      <c r="G42" s="15"/>
      <c r="H42" s="15"/>
      <c r="I42" s="15"/>
      <c r="J42" s="20"/>
      <c r="K42" s="8"/>
      <c r="L42" s="8"/>
    </row>
    <row r="43" spans="1:12" ht="15.75" thickBot="1">
      <c r="A43" s="8"/>
      <c r="B43" s="8"/>
      <c r="C43" s="8" t="s">
        <v>10</v>
      </c>
      <c r="D43" s="31">
        <f t="shared" ref="D43:I43" si="5">SUM(D40:D41)</f>
        <v>9172.7800000000007</v>
      </c>
      <c r="E43" s="44">
        <f t="shared" si="5"/>
        <v>0</v>
      </c>
      <c r="F43" s="30">
        <f t="shared" si="5"/>
        <v>0</v>
      </c>
      <c r="G43" s="30">
        <f t="shared" si="5"/>
        <v>0</v>
      </c>
      <c r="H43" s="30">
        <f t="shared" si="5"/>
        <v>0</v>
      </c>
      <c r="I43" s="30">
        <f t="shared" si="5"/>
        <v>0</v>
      </c>
      <c r="J43" s="31">
        <f>SUM(D43:I43)</f>
        <v>9172.7800000000007</v>
      </c>
      <c r="K43" s="8"/>
      <c r="L43" s="8"/>
    </row>
    <row r="44" spans="1:12" ht="15.75" thickTop="1">
      <c r="A44" s="8"/>
      <c r="B44" s="8"/>
      <c r="C44" s="8"/>
      <c r="D44" s="20"/>
      <c r="E44" s="20"/>
      <c r="F44" s="15"/>
      <c r="G44" s="15"/>
      <c r="H44" s="15"/>
      <c r="I44" s="15"/>
      <c r="J44" s="20"/>
      <c r="K44" s="8"/>
      <c r="L44" s="8"/>
    </row>
    <row r="45" spans="1:12">
      <c r="A45" s="8"/>
      <c r="B45" s="8"/>
      <c r="C45" s="8"/>
      <c r="D45" s="20"/>
      <c r="E45" s="20"/>
      <c r="F45" s="15"/>
      <c r="G45" s="15"/>
      <c r="H45" s="15"/>
      <c r="I45" s="15"/>
      <c r="J45" s="20"/>
      <c r="K45" s="8"/>
      <c r="L45" s="8"/>
    </row>
    <row r="46" spans="1:12" ht="15.75" thickBot="1">
      <c r="A46" s="8">
        <v>27</v>
      </c>
      <c r="B46" s="8" t="s">
        <v>20</v>
      </c>
      <c r="C46" s="8" t="s">
        <v>12</v>
      </c>
      <c r="D46" s="29">
        <v>17338.12</v>
      </c>
      <c r="E46" s="29">
        <v>49.68</v>
      </c>
      <c r="F46" s="28">
        <v>45.54</v>
      </c>
      <c r="G46" s="28">
        <v>0</v>
      </c>
      <c r="H46" s="28">
        <v>0</v>
      </c>
      <c r="I46" s="28">
        <v>0</v>
      </c>
      <c r="J46" s="29">
        <f>SUM(D46:I46)</f>
        <v>17433.34</v>
      </c>
      <c r="K46" s="8"/>
      <c r="L46" s="8"/>
    </row>
    <row r="47" spans="1:12">
      <c r="A47" s="8"/>
      <c r="B47" s="8"/>
      <c r="C47" s="8"/>
      <c r="D47" s="20"/>
      <c r="E47" s="20"/>
      <c r="F47" s="15"/>
      <c r="G47" s="15"/>
      <c r="H47" s="15"/>
      <c r="I47" s="15"/>
      <c r="J47" s="20"/>
      <c r="K47" s="8"/>
      <c r="L47" s="8"/>
    </row>
    <row r="48" spans="1:12" ht="15.75" thickBot="1">
      <c r="A48" s="8"/>
      <c r="B48" s="8"/>
      <c r="C48" s="8" t="s">
        <v>10</v>
      </c>
      <c r="D48" s="31">
        <f t="shared" ref="D48:I48" si="6">SUM(D46:D47)</f>
        <v>17338.12</v>
      </c>
      <c r="E48" s="31">
        <f t="shared" si="6"/>
        <v>49.68</v>
      </c>
      <c r="F48" s="30">
        <f t="shared" si="6"/>
        <v>45.54</v>
      </c>
      <c r="G48" s="30">
        <f t="shared" si="6"/>
        <v>0</v>
      </c>
      <c r="H48" s="30">
        <f t="shared" si="6"/>
        <v>0</v>
      </c>
      <c r="I48" s="30">
        <f t="shared" si="6"/>
        <v>0</v>
      </c>
      <c r="J48" s="31">
        <f>SUM(D48:I48)</f>
        <v>17433.34</v>
      </c>
      <c r="K48" s="8"/>
      <c r="L48" s="8"/>
    </row>
    <row r="49" spans="1:12" ht="15.75" thickTop="1">
      <c r="A49" s="8"/>
      <c r="B49" s="8"/>
      <c r="C49" s="8"/>
      <c r="D49" s="20"/>
      <c r="E49" s="20"/>
      <c r="F49" s="15"/>
      <c r="G49" s="8"/>
      <c r="H49" s="8"/>
      <c r="I49" s="8"/>
      <c r="J49" s="20"/>
      <c r="K49" s="8"/>
      <c r="L49" s="8"/>
    </row>
    <row r="50" spans="1:12">
      <c r="A50" s="8"/>
      <c r="B50" s="8"/>
      <c r="C50" s="8"/>
      <c r="D50" s="20"/>
      <c r="E50" s="20"/>
      <c r="F50" s="15"/>
      <c r="G50" s="8"/>
      <c r="H50" s="8"/>
      <c r="I50" s="8"/>
      <c r="J50" s="20"/>
      <c r="K50" s="8"/>
      <c r="L50" s="8"/>
    </row>
    <row r="51" spans="1:12">
      <c r="A51" s="8"/>
      <c r="B51" s="8"/>
      <c r="C51" s="8"/>
      <c r="D51" s="20"/>
      <c r="E51" s="20"/>
      <c r="F51" s="15"/>
      <c r="G51" s="15"/>
      <c r="H51" s="15"/>
      <c r="I51" s="15"/>
      <c r="J51" s="20"/>
      <c r="K51" s="8"/>
      <c r="L51" s="8"/>
    </row>
    <row r="52" spans="1:12">
      <c r="A52" s="8"/>
      <c r="B52" s="8"/>
      <c r="C52" s="8"/>
      <c r="D52" s="20"/>
      <c r="E52" s="20"/>
      <c r="F52" s="15"/>
      <c r="G52" s="15"/>
      <c r="H52" s="15"/>
      <c r="I52" s="15"/>
      <c r="J52" s="20"/>
      <c r="K52" s="8"/>
      <c r="L52" s="8"/>
    </row>
    <row r="53" spans="1:12">
      <c r="A53" s="8">
        <v>28</v>
      </c>
      <c r="B53" s="8" t="s">
        <v>21</v>
      </c>
      <c r="C53" s="8" t="s">
        <v>12</v>
      </c>
      <c r="D53" s="25">
        <v>8312.48</v>
      </c>
      <c r="E53" s="25">
        <v>496.2</v>
      </c>
      <c r="F53" s="24">
        <v>8.02</v>
      </c>
      <c r="G53" s="24">
        <v>0</v>
      </c>
      <c r="H53" s="24">
        <v>0</v>
      </c>
      <c r="I53" s="24">
        <v>0</v>
      </c>
      <c r="J53" s="25">
        <f>SUM(D53:I53)</f>
        <v>8816.7000000000007</v>
      </c>
      <c r="K53" s="8"/>
      <c r="L53" s="8"/>
    </row>
    <row r="54" spans="1:12" ht="15.75" hidden="1" thickBot="1">
      <c r="A54" s="8"/>
      <c r="B54" s="8"/>
      <c r="C54" s="8" t="s">
        <v>13</v>
      </c>
      <c r="D54" s="29"/>
      <c r="E54" s="29"/>
      <c r="F54" s="28"/>
      <c r="G54" s="28"/>
      <c r="H54" s="28"/>
      <c r="I54" s="28"/>
      <c r="J54" s="29">
        <f>SUM(D54:I54)</f>
        <v>0</v>
      </c>
      <c r="K54" s="8"/>
      <c r="L54" s="8"/>
    </row>
    <row r="55" spans="1:12">
      <c r="A55" s="8"/>
      <c r="B55" s="8"/>
      <c r="C55" s="8"/>
      <c r="D55" s="20"/>
      <c r="E55" s="20"/>
      <c r="F55" s="15"/>
      <c r="G55" s="15"/>
      <c r="H55" s="15"/>
      <c r="I55" s="15"/>
      <c r="J55" s="20"/>
      <c r="K55" s="8"/>
      <c r="L55" s="8"/>
    </row>
    <row r="56" spans="1:12" ht="15.75" thickBot="1">
      <c r="A56" s="8"/>
      <c r="B56" s="8"/>
      <c r="C56" s="8" t="s">
        <v>10</v>
      </c>
      <c r="D56" s="31">
        <f t="shared" ref="D56:I56" si="7">SUM(D53:D54)</f>
        <v>8312.48</v>
      </c>
      <c r="E56" s="31">
        <f t="shared" si="7"/>
        <v>496.2</v>
      </c>
      <c r="F56" s="30">
        <f t="shared" si="7"/>
        <v>8.02</v>
      </c>
      <c r="G56" s="30">
        <f t="shared" si="7"/>
        <v>0</v>
      </c>
      <c r="H56" s="30">
        <f t="shared" si="7"/>
        <v>0</v>
      </c>
      <c r="I56" s="30">
        <f t="shared" si="7"/>
        <v>0</v>
      </c>
      <c r="J56" s="31">
        <f>SUM(D56:I56)</f>
        <v>8816.7000000000007</v>
      </c>
      <c r="K56" s="8"/>
      <c r="L56" s="8"/>
    </row>
    <row r="57" spans="1:12" ht="15.75" thickTop="1">
      <c r="A57" s="8"/>
      <c r="B57" s="8"/>
      <c r="C57" s="8"/>
      <c r="D57" s="20"/>
      <c r="E57" s="20"/>
      <c r="F57" s="15"/>
      <c r="G57" s="15"/>
      <c r="H57" s="15"/>
      <c r="I57" s="15"/>
      <c r="J57" s="20"/>
      <c r="K57" s="8"/>
      <c r="L57" s="8"/>
    </row>
    <row r="58" spans="1:12">
      <c r="A58" s="8"/>
      <c r="B58" s="8"/>
      <c r="C58" s="8"/>
      <c r="D58" s="20"/>
      <c r="E58" s="20"/>
      <c r="F58" s="15"/>
      <c r="G58" s="15"/>
      <c r="H58" s="15"/>
      <c r="I58" s="15"/>
      <c r="J58" s="20"/>
      <c r="K58" s="8"/>
      <c r="L58" s="8"/>
    </row>
    <row r="59" spans="1:12">
      <c r="A59" s="8">
        <v>29</v>
      </c>
      <c r="B59" s="8" t="s">
        <v>22</v>
      </c>
      <c r="C59" s="8" t="s">
        <v>12</v>
      </c>
      <c r="D59" s="20">
        <v>18647.580000000002</v>
      </c>
      <c r="E59" s="35">
        <v>0</v>
      </c>
      <c r="F59" s="15">
        <v>0</v>
      </c>
      <c r="G59" s="15">
        <v>0</v>
      </c>
      <c r="H59" s="15">
        <v>0</v>
      </c>
      <c r="I59" s="15">
        <v>0</v>
      </c>
      <c r="J59" s="20">
        <f>SUM(D59:I59)</f>
        <v>18647.580000000002</v>
      </c>
      <c r="K59" s="8"/>
      <c r="L59" s="8"/>
    </row>
    <row r="60" spans="1:12">
      <c r="A60" s="8"/>
      <c r="B60" s="8"/>
      <c r="C60" s="8" t="s">
        <v>35</v>
      </c>
      <c r="D60" s="20">
        <v>1035.8900000000001</v>
      </c>
      <c r="E60" s="35">
        <v>0</v>
      </c>
      <c r="F60" s="15">
        <v>0</v>
      </c>
      <c r="G60" s="15">
        <v>0</v>
      </c>
      <c r="H60" s="15">
        <v>0</v>
      </c>
      <c r="I60" s="15">
        <v>0</v>
      </c>
      <c r="J60" s="20">
        <f>SUM(D60:I60)</f>
        <v>1035.8900000000001</v>
      </c>
      <c r="K60" s="8"/>
      <c r="L60" s="8"/>
    </row>
    <row r="61" spans="1:12">
      <c r="A61" s="8"/>
      <c r="B61" s="8"/>
      <c r="C61" s="8" t="s">
        <v>13</v>
      </c>
      <c r="D61" s="20">
        <v>497.22</v>
      </c>
      <c r="E61" s="35">
        <v>0</v>
      </c>
      <c r="F61" s="15">
        <v>0</v>
      </c>
      <c r="G61" s="15">
        <v>0</v>
      </c>
      <c r="H61" s="15">
        <v>0</v>
      </c>
      <c r="I61" s="15">
        <v>0</v>
      </c>
      <c r="J61" s="20">
        <f>SUM(D61:I61)</f>
        <v>497.22</v>
      </c>
      <c r="K61" s="8"/>
      <c r="L61" s="8"/>
    </row>
    <row r="62" spans="1:12" ht="15.75" thickBot="1">
      <c r="A62" s="8"/>
      <c r="B62" s="8"/>
      <c r="C62" s="8" t="s">
        <v>78</v>
      </c>
      <c r="D62" s="29">
        <v>1771.44</v>
      </c>
      <c r="E62" s="34">
        <v>0</v>
      </c>
      <c r="F62" s="28">
        <v>0</v>
      </c>
      <c r="G62" s="28">
        <v>0</v>
      </c>
      <c r="H62" s="28">
        <v>0</v>
      </c>
      <c r="I62" s="28">
        <v>0</v>
      </c>
      <c r="J62" s="29">
        <f>SUM(D62:I62)</f>
        <v>1771.44</v>
      </c>
      <c r="K62" s="8"/>
      <c r="L62" s="8"/>
    </row>
    <row r="63" spans="1:12">
      <c r="A63" s="8"/>
      <c r="B63" s="8"/>
      <c r="C63" s="8"/>
      <c r="D63" s="20"/>
      <c r="E63" s="35"/>
      <c r="F63" s="15"/>
      <c r="G63" s="15"/>
      <c r="H63" s="15"/>
      <c r="I63" s="15"/>
      <c r="J63" s="20"/>
      <c r="K63" s="8"/>
      <c r="L63" s="8"/>
    </row>
    <row r="64" spans="1:12" ht="15.75" thickBot="1">
      <c r="A64" s="8"/>
      <c r="B64" s="8"/>
      <c r="C64" s="8" t="s">
        <v>10</v>
      </c>
      <c r="D64" s="31">
        <f t="shared" ref="D64:I64" si="8">SUM(D59:D62)</f>
        <v>21952.13</v>
      </c>
      <c r="E64" s="44">
        <f t="shared" si="8"/>
        <v>0</v>
      </c>
      <c r="F64" s="30">
        <f t="shared" si="8"/>
        <v>0</v>
      </c>
      <c r="G64" s="30">
        <f t="shared" si="8"/>
        <v>0</v>
      </c>
      <c r="H64" s="30">
        <f t="shared" si="8"/>
        <v>0</v>
      </c>
      <c r="I64" s="30">
        <f t="shared" si="8"/>
        <v>0</v>
      </c>
      <c r="J64" s="31">
        <f>SUM(D64:I64)</f>
        <v>21952.13</v>
      </c>
      <c r="K64" s="8"/>
      <c r="L64" s="8"/>
    </row>
    <row r="65" spans="1:12" ht="15.75" thickTop="1">
      <c r="A65" s="8"/>
      <c r="B65" s="8"/>
      <c r="C65" s="8"/>
      <c r="D65" s="20"/>
      <c r="E65" s="20"/>
      <c r="F65" s="15"/>
      <c r="G65" s="15"/>
      <c r="H65" s="15"/>
      <c r="I65" s="15"/>
      <c r="J65" s="20"/>
      <c r="K65" s="8"/>
      <c r="L65" s="8"/>
    </row>
    <row r="66" spans="1:12">
      <c r="A66" s="8"/>
      <c r="B66" s="8"/>
      <c r="C66" s="8"/>
      <c r="D66" s="20"/>
      <c r="E66" s="20"/>
      <c r="F66" s="15"/>
      <c r="G66" s="15"/>
      <c r="H66" s="15"/>
      <c r="I66" s="15"/>
      <c r="J66" s="20"/>
      <c r="K66" s="8"/>
      <c r="L66" s="8"/>
    </row>
    <row r="67" spans="1:12">
      <c r="A67" s="8">
        <v>30</v>
      </c>
      <c r="B67" s="8" t="s">
        <v>23</v>
      </c>
      <c r="C67" s="8" t="s">
        <v>12</v>
      </c>
      <c r="D67" s="25">
        <v>6737.62</v>
      </c>
      <c r="E67" s="25">
        <v>57.54</v>
      </c>
      <c r="F67" s="24">
        <v>40.9</v>
      </c>
      <c r="G67" s="24">
        <v>0</v>
      </c>
      <c r="H67" s="24">
        <v>0</v>
      </c>
      <c r="I67" s="24">
        <v>0</v>
      </c>
      <c r="J67" s="25">
        <f>SUM(D67:I67)</f>
        <v>6836.0599999999995</v>
      </c>
      <c r="K67" s="8"/>
      <c r="L67" s="8"/>
    </row>
    <row r="68" spans="1:12" ht="15.75" hidden="1" thickBot="1">
      <c r="A68" s="8"/>
      <c r="B68" s="8"/>
      <c r="C68" s="8" t="s">
        <v>13</v>
      </c>
      <c r="D68" s="29"/>
      <c r="E68" s="29"/>
      <c r="F68" s="28"/>
      <c r="G68" s="28"/>
      <c r="H68" s="28"/>
      <c r="I68" s="28"/>
      <c r="J68" s="29"/>
      <c r="K68" s="8"/>
      <c r="L68" s="8"/>
    </row>
    <row r="69" spans="1:12">
      <c r="A69" s="8"/>
      <c r="B69" s="8"/>
      <c r="C69" s="8"/>
      <c r="D69" s="20"/>
      <c r="E69" s="20"/>
      <c r="F69" s="15"/>
      <c r="G69" s="15"/>
      <c r="H69" s="15"/>
      <c r="I69" s="15"/>
      <c r="J69" s="20"/>
      <c r="K69" s="8"/>
      <c r="L69" s="8"/>
    </row>
    <row r="70" spans="1:12" ht="15.75" thickBot="1">
      <c r="A70" s="8"/>
      <c r="B70" s="8"/>
      <c r="C70" s="15" t="s">
        <v>10</v>
      </c>
      <c r="D70" s="31">
        <f t="shared" ref="D70:I70" si="9">SUM(D67:D68)</f>
        <v>6737.62</v>
      </c>
      <c r="E70" s="31">
        <f t="shared" si="9"/>
        <v>57.54</v>
      </c>
      <c r="F70" s="30">
        <f t="shared" si="9"/>
        <v>40.9</v>
      </c>
      <c r="G70" s="30">
        <f t="shared" si="9"/>
        <v>0</v>
      </c>
      <c r="H70" s="30">
        <f t="shared" si="9"/>
        <v>0</v>
      </c>
      <c r="I70" s="30">
        <f t="shared" si="9"/>
        <v>0</v>
      </c>
      <c r="J70" s="31">
        <f>SUM(D70:I70)</f>
        <v>6836.0599999999995</v>
      </c>
      <c r="K70" s="8"/>
      <c r="L70" s="8"/>
    </row>
    <row r="71" spans="1:12" ht="15.75" thickTop="1">
      <c r="A71" s="8"/>
      <c r="B71" s="8"/>
      <c r="C71" s="8"/>
      <c r="D71" s="20"/>
      <c r="E71" s="20"/>
      <c r="F71" s="15"/>
      <c r="G71" s="15"/>
      <c r="H71" s="15"/>
      <c r="I71" s="15"/>
      <c r="J71" s="20"/>
      <c r="K71" s="8"/>
      <c r="L71" s="8"/>
    </row>
    <row r="72" spans="1:12">
      <c r="A72" s="8"/>
      <c r="B72" s="8"/>
      <c r="C72" s="8"/>
      <c r="D72" s="20"/>
      <c r="E72" s="20"/>
      <c r="F72" s="15"/>
      <c r="G72" s="15"/>
      <c r="H72" s="15"/>
      <c r="I72" s="15"/>
      <c r="J72" s="20"/>
      <c r="K72" s="8"/>
      <c r="L72" s="8"/>
    </row>
    <row r="73" spans="1:12">
      <c r="A73" s="8">
        <v>31</v>
      </c>
      <c r="B73" s="8" t="s">
        <v>24</v>
      </c>
      <c r="C73" s="8" t="s">
        <v>12</v>
      </c>
      <c r="D73" s="20">
        <v>2955.2</v>
      </c>
      <c r="E73" s="20">
        <v>39.94</v>
      </c>
      <c r="F73" s="15">
        <v>41.43</v>
      </c>
      <c r="G73" s="15">
        <v>0</v>
      </c>
      <c r="H73" s="15">
        <v>0</v>
      </c>
      <c r="I73" s="15">
        <v>0</v>
      </c>
      <c r="J73" s="20">
        <f>SUM(D73:I73)</f>
        <v>3036.5699999999997</v>
      </c>
      <c r="K73" s="8"/>
      <c r="L73" s="8"/>
    </row>
    <row r="74" spans="1:12" ht="15.75" thickBot="1">
      <c r="A74" s="8"/>
      <c r="B74" s="8"/>
      <c r="C74" s="8" t="s">
        <v>13</v>
      </c>
      <c r="D74" s="29">
        <v>100.49</v>
      </c>
      <c r="E74" s="29">
        <v>1.4</v>
      </c>
      <c r="F74" s="28">
        <v>1.59</v>
      </c>
      <c r="G74" s="28">
        <v>0</v>
      </c>
      <c r="H74" s="28">
        <v>0</v>
      </c>
      <c r="I74" s="28">
        <v>0</v>
      </c>
      <c r="J74" s="29">
        <f>SUM(D74:I74)</f>
        <v>103.48</v>
      </c>
      <c r="K74" s="8"/>
      <c r="L74" s="8"/>
    </row>
    <row r="75" spans="1:12">
      <c r="A75" s="8"/>
      <c r="B75" s="8"/>
      <c r="C75" s="8"/>
      <c r="D75" s="20"/>
      <c r="E75" s="20"/>
      <c r="F75" s="15"/>
      <c r="G75" s="15"/>
      <c r="H75" s="15"/>
      <c r="I75" s="15"/>
      <c r="J75" s="20"/>
      <c r="K75" s="8"/>
      <c r="L75" s="8"/>
    </row>
    <row r="76" spans="1:12" ht="15.75" thickBot="1">
      <c r="A76" s="8"/>
      <c r="B76" s="8"/>
      <c r="C76" s="8" t="s">
        <v>10</v>
      </c>
      <c r="D76" s="31">
        <f t="shared" ref="D76:I76" si="10">SUM(D73:D74)</f>
        <v>3055.6899999999996</v>
      </c>
      <c r="E76" s="31">
        <f t="shared" si="10"/>
        <v>41.339999999999996</v>
      </c>
      <c r="F76" s="30">
        <f t="shared" si="10"/>
        <v>43.02</v>
      </c>
      <c r="G76" s="30">
        <f t="shared" si="10"/>
        <v>0</v>
      </c>
      <c r="H76" s="30">
        <f t="shared" si="10"/>
        <v>0</v>
      </c>
      <c r="I76" s="30">
        <f t="shared" si="10"/>
        <v>0</v>
      </c>
      <c r="J76" s="31">
        <f>SUM(D76:I76)</f>
        <v>3140.0499999999997</v>
      </c>
      <c r="K76" s="8"/>
      <c r="L76" s="8"/>
    </row>
    <row r="77" spans="1:12" ht="15.75" thickTop="1">
      <c r="A77" s="8"/>
      <c r="B77" s="8"/>
      <c r="C77" s="8"/>
      <c r="D77" s="20"/>
      <c r="E77" s="20"/>
      <c r="F77" s="15"/>
      <c r="G77" s="15"/>
      <c r="H77" s="15"/>
      <c r="I77" s="15"/>
      <c r="J77" s="20"/>
      <c r="K77" s="8"/>
      <c r="L77" s="8"/>
    </row>
    <row r="78" spans="1:12">
      <c r="A78" s="8"/>
      <c r="B78" s="8"/>
      <c r="C78" s="8"/>
      <c r="D78" s="20"/>
      <c r="E78" s="20"/>
      <c r="F78" s="15"/>
      <c r="G78" s="15"/>
      <c r="H78" s="15"/>
      <c r="I78" s="15"/>
      <c r="J78" s="20"/>
      <c r="K78" s="8"/>
      <c r="L78" s="8"/>
    </row>
    <row r="79" spans="1:12">
      <c r="A79" s="8">
        <v>32</v>
      </c>
      <c r="B79" s="8" t="s">
        <v>25</v>
      </c>
      <c r="C79" s="8" t="s">
        <v>12</v>
      </c>
      <c r="D79" s="20">
        <v>15212.95</v>
      </c>
      <c r="E79" s="20">
        <v>289.89</v>
      </c>
      <c r="F79" s="15">
        <v>18.38</v>
      </c>
      <c r="G79" s="15">
        <v>0</v>
      </c>
      <c r="H79" s="15">
        <v>0</v>
      </c>
      <c r="I79" s="15">
        <v>0</v>
      </c>
      <c r="J79" s="20">
        <f>SUM(D79:I79)</f>
        <v>15521.22</v>
      </c>
      <c r="K79" s="8"/>
      <c r="L79" s="8"/>
    </row>
    <row r="80" spans="1:12">
      <c r="A80" s="8"/>
      <c r="B80" s="8"/>
      <c r="C80" s="8" t="s">
        <v>13</v>
      </c>
      <c r="D80" s="25">
        <v>244.01</v>
      </c>
      <c r="E80" s="25">
        <v>5.16</v>
      </c>
      <c r="F80" s="24">
        <v>0.23</v>
      </c>
      <c r="G80" s="24">
        <v>0</v>
      </c>
      <c r="H80" s="24">
        <v>0</v>
      </c>
      <c r="I80" s="24">
        <v>0</v>
      </c>
      <c r="J80" s="25">
        <f>SUM(D80:I80)</f>
        <v>249.39999999999998</v>
      </c>
      <c r="K80" s="8"/>
      <c r="L80" s="8"/>
    </row>
    <row r="81" spans="1:12" hidden="1">
      <c r="A81" s="8"/>
      <c r="B81" s="8"/>
      <c r="C81" s="8" t="s">
        <v>73</v>
      </c>
      <c r="D81" s="20"/>
      <c r="E81" s="20"/>
      <c r="F81" s="26"/>
      <c r="G81" s="8"/>
      <c r="H81" s="26"/>
      <c r="I81" s="8"/>
      <c r="J81" s="20">
        <f>SUM(D81:I81)</f>
        <v>0</v>
      </c>
      <c r="K81" s="8"/>
      <c r="L81" s="8"/>
    </row>
    <row r="82" spans="1:12" ht="15.75" hidden="1" thickBot="1">
      <c r="A82" s="8"/>
      <c r="B82" s="8"/>
      <c r="C82" s="8" t="s">
        <v>78</v>
      </c>
      <c r="D82" s="29"/>
      <c r="E82" s="29"/>
      <c r="F82" s="33"/>
      <c r="G82" s="27"/>
      <c r="H82" s="27"/>
      <c r="I82" s="27"/>
      <c r="J82" s="29">
        <f>SUM(D82:I82)</f>
        <v>0</v>
      </c>
      <c r="K82" s="8"/>
      <c r="L82" s="8"/>
    </row>
    <row r="83" spans="1:12">
      <c r="A83" s="8"/>
      <c r="B83" s="8"/>
      <c r="C83" s="8"/>
      <c r="D83" s="20"/>
      <c r="E83" s="20"/>
      <c r="F83" s="15"/>
      <c r="G83" s="8"/>
      <c r="H83" s="8"/>
      <c r="I83" s="8"/>
      <c r="J83" s="20"/>
      <c r="K83" s="8"/>
      <c r="L83" s="8"/>
    </row>
    <row r="84" spans="1:12" ht="15.75" thickBot="1">
      <c r="A84" s="8"/>
      <c r="B84" s="8"/>
      <c r="C84" s="8" t="s">
        <v>10</v>
      </c>
      <c r="D84" s="31">
        <f t="shared" ref="D84:I84" si="11">SUM(D79:D82)</f>
        <v>15456.960000000001</v>
      </c>
      <c r="E84" s="31">
        <f t="shared" si="11"/>
        <v>295.05</v>
      </c>
      <c r="F84" s="30">
        <f t="shared" si="11"/>
        <v>18.61</v>
      </c>
      <c r="G84" s="30">
        <f t="shared" si="11"/>
        <v>0</v>
      </c>
      <c r="H84" s="30">
        <f t="shared" si="11"/>
        <v>0</v>
      </c>
      <c r="I84" s="30">
        <f t="shared" si="11"/>
        <v>0</v>
      </c>
      <c r="J84" s="31">
        <f>SUM(D84:I84)</f>
        <v>15770.62</v>
      </c>
      <c r="K84" s="8"/>
      <c r="L84" s="8"/>
    </row>
    <row r="85" spans="1:12" ht="15.75" thickTop="1">
      <c r="A85" s="8"/>
      <c r="B85" s="8"/>
      <c r="C85" s="8"/>
      <c r="D85" s="20"/>
      <c r="E85" s="20"/>
      <c r="F85" s="15"/>
      <c r="G85" s="15"/>
      <c r="H85" s="15"/>
      <c r="I85" s="15"/>
      <c r="J85" s="20"/>
      <c r="K85" s="8"/>
      <c r="L85" s="8"/>
    </row>
    <row r="86" spans="1:12">
      <c r="A86" s="8"/>
      <c r="B86" s="8"/>
      <c r="C86" s="8"/>
      <c r="D86" s="20"/>
      <c r="E86" s="20"/>
      <c r="F86" s="15"/>
      <c r="G86" s="15"/>
      <c r="H86" s="15"/>
      <c r="I86" s="15"/>
      <c r="J86" s="20"/>
      <c r="K86" s="8"/>
      <c r="L86" s="8"/>
    </row>
    <row r="87" spans="1:12">
      <c r="A87" s="8">
        <v>33</v>
      </c>
      <c r="B87" s="8" t="s">
        <v>26</v>
      </c>
      <c r="C87" s="8" t="s">
        <v>12</v>
      </c>
      <c r="D87" s="20">
        <v>12030.69</v>
      </c>
      <c r="E87" s="20">
        <v>199.26</v>
      </c>
      <c r="F87" s="15">
        <v>0</v>
      </c>
      <c r="G87" s="15">
        <v>0</v>
      </c>
      <c r="H87" s="15">
        <v>0</v>
      </c>
      <c r="I87" s="15">
        <v>0</v>
      </c>
      <c r="J87" s="20">
        <f>SUM(D87:I87)</f>
        <v>12229.95</v>
      </c>
      <c r="K87" s="8"/>
      <c r="L87" s="8"/>
    </row>
    <row r="88" spans="1:12" ht="15.75" thickBot="1">
      <c r="A88" s="8"/>
      <c r="B88" s="8"/>
      <c r="C88" s="8" t="s">
        <v>13</v>
      </c>
      <c r="D88" s="29">
        <v>176.94</v>
      </c>
      <c r="E88" s="29">
        <v>2.68</v>
      </c>
      <c r="F88" s="28">
        <v>0</v>
      </c>
      <c r="G88" s="28">
        <v>0</v>
      </c>
      <c r="H88" s="28">
        <v>0</v>
      </c>
      <c r="I88" s="28">
        <v>0</v>
      </c>
      <c r="J88" s="29">
        <f>SUM(D88:I88)</f>
        <v>179.62</v>
      </c>
      <c r="K88" s="8"/>
      <c r="L88" s="8"/>
    </row>
    <row r="89" spans="1:12">
      <c r="A89" s="8"/>
      <c r="B89" s="8"/>
      <c r="C89" s="8"/>
      <c r="D89" s="20"/>
      <c r="E89" s="20"/>
      <c r="F89" s="15"/>
      <c r="G89" s="15"/>
      <c r="H89" s="15"/>
      <c r="I89" s="15"/>
      <c r="J89" s="20"/>
      <c r="K89" s="8"/>
      <c r="L89" s="8"/>
    </row>
    <row r="90" spans="1:12" ht="15.75" thickBot="1">
      <c r="A90" s="8"/>
      <c r="B90" s="8"/>
      <c r="C90" s="8" t="s">
        <v>10</v>
      </c>
      <c r="D90" s="31">
        <f t="shared" ref="D90:I90" si="12">SUM(D87:D88)</f>
        <v>12207.630000000001</v>
      </c>
      <c r="E90" s="31">
        <f t="shared" si="12"/>
        <v>201.94</v>
      </c>
      <c r="F90" s="30">
        <f t="shared" si="12"/>
        <v>0</v>
      </c>
      <c r="G90" s="30">
        <f t="shared" si="12"/>
        <v>0</v>
      </c>
      <c r="H90" s="30">
        <f t="shared" si="12"/>
        <v>0</v>
      </c>
      <c r="I90" s="30">
        <f t="shared" si="12"/>
        <v>0</v>
      </c>
      <c r="J90" s="31">
        <f>SUM(D90:I90)</f>
        <v>12409.570000000002</v>
      </c>
      <c r="K90" s="8"/>
      <c r="L90" s="8"/>
    </row>
    <row r="91" spans="1:12" ht="15.75" thickTop="1">
      <c r="A91" s="8"/>
      <c r="B91" s="8"/>
      <c r="C91" s="8"/>
      <c r="D91" s="20"/>
      <c r="E91" s="20"/>
      <c r="F91" s="15"/>
      <c r="G91" s="15"/>
      <c r="H91" s="15"/>
      <c r="I91" s="15"/>
      <c r="J91" s="20"/>
      <c r="K91" s="8"/>
      <c r="L91" s="8"/>
    </row>
    <row r="92" spans="1:12">
      <c r="A92" s="8"/>
      <c r="B92" s="8"/>
      <c r="C92" s="8"/>
      <c r="D92" s="20"/>
      <c r="E92" s="20"/>
      <c r="F92" s="15"/>
      <c r="G92" s="15"/>
      <c r="H92" s="15"/>
      <c r="I92" s="15"/>
      <c r="J92" s="20"/>
      <c r="K92" s="8"/>
      <c r="L92" s="8"/>
    </row>
    <row r="93" spans="1:12">
      <c r="A93" s="8">
        <v>34</v>
      </c>
      <c r="B93" s="8" t="s">
        <v>27</v>
      </c>
      <c r="C93" s="8" t="s">
        <v>12</v>
      </c>
      <c r="D93" s="20">
        <v>18067.86</v>
      </c>
      <c r="E93" s="20">
        <v>214.55</v>
      </c>
      <c r="F93" s="15">
        <v>196.5</v>
      </c>
      <c r="G93" s="15">
        <v>0</v>
      </c>
      <c r="H93" s="15">
        <v>0</v>
      </c>
      <c r="I93" s="15">
        <v>0</v>
      </c>
      <c r="J93" s="20">
        <f>SUM(D93:I93)</f>
        <v>18478.91</v>
      </c>
      <c r="K93" s="8"/>
      <c r="L93" s="8"/>
    </row>
    <row r="94" spans="1:12">
      <c r="A94" s="8"/>
      <c r="B94" s="8"/>
      <c r="C94" s="8" t="s">
        <v>35</v>
      </c>
      <c r="D94" s="20">
        <v>501.8</v>
      </c>
      <c r="E94" s="20">
        <v>8.17</v>
      </c>
      <c r="F94" s="15">
        <v>7.35</v>
      </c>
      <c r="G94" s="15">
        <v>0</v>
      </c>
      <c r="H94" s="15">
        <v>0</v>
      </c>
      <c r="I94" s="15">
        <v>0</v>
      </c>
      <c r="J94" s="20">
        <f>SUM(D94:I94)</f>
        <v>517.32000000000005</v>
      </c>
      <c r="K94" s="8"/>
      <c r="L94" s="8"/>
    </row>
    <row r="95" spans="1:12">
      <c r="A95" s="8"/>
      <c r="B95" s="8"/>
      <c r="C95" s="8" t="s">
        <v>13</v>
      </c>
      <c r="D95" s="20">
        <v>240.92</v>
      </c>
      <c r="E95" s="20">
        <v>4.12</v>
      </c>
      <c r="F95" s="15">
        <v>3.67</v>
      </c>
      <c r="G95" s="15">
        <v>0</v>
      </c>
      <c r="H95" s="15">
        <v>0</v>
      </c>
      <c r="I95" s="15">
        <v>0</v>
      </c>
      <c r="J95" s="20">
        <f>SUM(D95:I95)</f>
        <v>248.70999999999998</v>
      </c>
      <c r="K95" s="8"/>
      <c r="L95" s="8"/>
    </row>
    <row r="96" spans="1:12" ht="15.75" thickBot="1">
      <c r="A96" s="8"/>
      <c r="B96" s="8"/>
      <c r="C96" s="8" t="s">
        <v>78</v>
      </c>
      <c r="D96" s="29">
        <v>1325.08</v>
      </c>
      <c r="E96" s="29">
        <v>17.61</v>
      </c>
      <c r="F96" s="28">
        <v>16.68</v>
      </c>
      <c r="G96" s="28">
        <v>0</v>
      </c>
      <c r="H96" s="28">
        <v>0</v>
      </c>
      <c r="I96" s="28">
        <v>0</v>
      </c>
      <c r="J96" s="29">
        <f>SUM(D96:I96)</f>
        <v>1359.37</v>
      </c>
      <c r="K96" s="8"/>
      <c r="L96" s="8"/>
    </row>
    <row r="97" spans="1:12">
      <c r="A97" s="8"/>
      <c r="B97" s="8"/>
      <c r="C97" s="8"/>
      <c r="D97" s="20"/>
      <c r="E97" s="20"/>
      <c r="F97" s="15"/>
      <c r="G97" s="15"/>
      <c r="H97" s="15"/>
      <c r="I97" s="15"/>
      <c r="J97" s="20"/>
      <c r="K97" s="8"/>
      <c r="L97" s="8"/>
    </row>
    <row r="98" spans="1:12" ht="15.75" thickBot="1">
      <c r="A98" s="8"/>
      <c r="B98" s="8"/>
      <c r="C98" s="8" t="s">
        <v>10</v>
      </c>
      <c r="D98" s="31">
        <f t="shared" ref="D98:I98" si="13">SUM(D93:D97)</f>
        <v>20135.659999999996</v>
      </c>
      <c r="E98" s="31">
        <f t="shared" si="13"/>
        <v>244.45</v>
      </c>
      <c r="F98" s="30">
        <f t="shared" si="13"/>
        <v>224.2</v>
      </c>
      <c r="G98" s="30">
        <f t="shared" si="13"/>
        <v>0</v>
      </c>
      <c r="H98" s="30">
        <f t="shared" si="13"/>
        <v>0</v>
      </c>
      <c r="I98" s="30">
        <f t="shared" si="13"/>
        <v>0</v>
      </c>
      <c r="J98" s="31">
        <f>SUM(D98:I98)</f>
        <v>20604.309999999998</v>
      </c>
      <c r="K98" s="8"/>
      <c r="L98" s="8"/>
    </row>
    <row r="99" spans="1:12" ht="15.75" thickTop="1">
      <c r="A99" s="8"/>
      <c r="B99" s="8"/>
      <c r="C99" s="8"/>
      <c r="D99" s="20"/>
      <c r="E99" s="20"/>
      <c r="F99" s="15"/>
      <c r="G99" s="15"/>
      <c r="H99" s="15"/>
      <c r="I99" s="15"/>
      <c r="J99" s="20"/>
      <c r="K99" s="8"/>
      <c r="L99" s="8"/>
    </row>
    <row r="100" spans="1:12">
      <c r="A100" s="8"/>
      <c r="B100" s="8"/>
      <c r="C100" s="8"/>
      <c r="D100" s="20"/>
      <c r="E100" s="20"/>
      <c r="F100" s="15"/>
      <c r="G100" s="15"/>
      <c r="H100" s="15"/>
      <c r="I100" s="15"/>
      <c r="J100" s="20"/>
      <c r="K100" s="8"/>
      <c r="L100" s="8"/>
    </row>
    <row r="101" spans="1:12" ht="15.75" thickBot="1">
      <c r="A101" s="8">
        <v>35</v>
      </c>
      <c r="B101" s="8" t="s">
        <v>28</v>
      </c>
      <c r="C101" s="8" t="s">
        <v>12</v>
      </c>
      <c r="D101" s="29">
        <v>7707.47</v>
      </c>
      <c r="E101" s="29">
        <v>32.99</v>
      </c>
      <c r="F101" s="28">
        <v>2.67</v>
      </c>
      <c r="G101" s="28">
        <v>0</v>
      </c>
      <c r="H101" s="28">
        <v>0</v>
      </c>
      <c r="I101" s="28">
        <v>0</v>
      </c>
      <c r="J101" s="29">
        <f>SUM(D101:I101)</f>
        <v>7743.13</v>
      </c>
      <c r="K101" s="8"/>
      <c r="L101" s="8"/>
    </row>
    <row r="102" spans="1:12">
      <c r="A102" s="8"/>
      <c r="B102" s="8"/>
      <c r="C102" s="8"/>
      <c r="D102" s="20"/>
      <c r="E102" s="20"/>
      <c r="F102" s="15"/>
      <c r="G102" s="15"/>
      <c r="H102" s="15"/>
      <c r="I102" s="15"/>
      <c r="J102" s="20"/>
      <c r="K102" s="8"/>
      <c r="L102" s="8"/>
    </row>
    <row r="103" spans="1:12" ht="15.75" thickBot="1">
      <c r="A103" s="8"/>
      <c r="B103" s="8"/>
      <c r="C103" s="8" t="s">
        <v>10</v>
      </c>
      <c r="D103" s="31">
        <f t="shared" ref="D103:I103" si="14">SUM(D101:D102)</f>
        <v>7707.47</v>
      </c>
      <c r="E103" s="31">
        <f t="shared" si="14"/>
        <v>32.99</v>
      </c>
      <c r="F103" s="30">
        <f t="shared" si="14"/>
        <v>2.67</v>
      </c>
      <c r="G103" s="30">
        <f t="shared" si="14"/>
        <v>0</v>
      </c>
      <c r="H103" s="30">
        <f t="shared" si="14"/>
        <v>0</v>
      </c>
      <c r="I103" s="30">
        <f t="shared" si="14"/>
        <v>0</v>
      </c>
      <c r="J103" s="31">
        <f>SUM(D103:I103)</f>
        <v>7743.13</v>
      </c>
      <c r="K103" s="8"/>
      <c r="L103" s="8"/>
    </row>
    <row r="104" spans="1:12" ht="15.75" thickTop="1">
      <c r="A104" s="8"/>
      <c r="B104" s="8"/>
      <c r="C104" s="8"/>
      <c r="D104" s="20"/>
      <c r="E104" s="20"/>
      <c r="F104" s="15"/>
      <c r="G104" s="15"/>
      <c r="H104" s="15"/>
      <c r="I104" s="15"/>
      <c r="J104" s="20"/>
      <c r="K104" s="8"/>
      <c r="L104" s="8"/>
    </row>
    <row r="105" spans="1:12">
      <c r="A105" s="8"/>
      <c r="B105" s="8"/>
      <c r="C105" s="8"/>
      <c r="D105" s="20"/>
      <c r="E105" s="20"/>
      <c r="F105" s="15"/>
      <c r="G105" s="15"/>
      <c r="H105" s="15"/>
      <c r="I105" s="15"/>
      <c r="J105" s="20"/>
      <c r="K105" s="8"/>
      <c r="L105" s="8"/>
    </row>
    <row r="106" spans="1:12">
      <c r="A106" s="8">
        <v>36</v>
      </c>
      <c r="B106" s="8" t="s">
        <v>29</v>
      </c>
      <c r="C106" s="8" t="s">
        <v>12</v>
      </c>
      <c r="D106" s="20">
        <v>8095.35</v>
      </c>
      <c r="E106" s="20">
        <v>165.24</v>
      </c>
      <c r="F106" s="15">
        <v>143.44</v>
      </c>
      <c r="G106" s="15">
        <v>0</v>
      </c>
      <c r="H106" s="15">
        <v>0</v>
      </c>
      <c r="I106" s="15">
        <v>0</v>
      </c>
      <c r="J106" s="20">
        <f>SUM(D106:I106)</f>
        <v>8404.0300000000007</v>
      </c>
      <c r="K106" s="8"/>
      <c r="L106" s="8"/>
    </row>
    <row r="107" spans="1:12">
      <c r="A107" s="8"/>
      <c r="B107" s="8"/>
      <c r="C107" s="38" t="s">
        <v>13</v>
      </c>
      <c r="D107" s="20">
        <v>177.73</v>
      </c>
      <c r="E107" s="20">
        <v>2.78</v>
      </c>
      <c r="F107" s="15">
        <v>2.74</v>
      </c>
      <c r="G107" s="15">
        <v>0</v>
      </c>
      <c r="H107" s="15">
        <v>0</v>
      </c>
      <c r="I107" s="15">
        <v>0</v>
      </c>
      <c r="J107" s="20">
        <f>SUM(D107:I107)</f>
        <v>183.25</v>
      </c>
      <c r="K107" s="8"/>
      <c r="L107" s="8"/>
    </row>
    <row r="108" spans="1:12" ht="15.75" thickBot="1">
      <c r="A108" s="8"/>
      <c r="B108" s="8"/>
      <c r="C108" s="38" t="s">
        <v>109</v>
      </c>
      <c r="D108" s="29">
        <v>759.71</v>
      </c>
      <c r="E108" s="29">
        <v>13.25</v>
      </c>
      <c r="F108" s="28">
        <v>13.56</v>
      </c>
      <c r="G108" s="28">
        <v>0</v>
      </c>
      <c r="H108" s="28">
        <v>0</v>
      </c>
      <c r="I108" s="28">
        <v>0</v>
      </c>
      <c r="J108" s="29">
        <f>SUM(D108:I108)</f>
        <v>786.52</v>
      </c>
      <c r="K108" s="8"/>
      <c r="L108" s="8"/>
    </row>
    <row r="109" spans="1:12">
      <c r="A109" s="8"/>
      <c r="B109" s="8"/>
      <c r="C109" s="8"/>
      <c r="D109" s="20"/>
      <c r="E109" s="20"/>
      <c r="F109" s="15"/>
      <c r="G109" s="15"/>
      <c r="H109" s="15"/>
      <c r="I109" s="15"/>
      <c r="J109" s="20"/>
      <c r="K109" s="8"/>
      <c r="L109" s="8"/>
    </row>
    <row r="110" spans="1:12" ht="15.75" thickBot="1">
      <c r="A110" s="8"/>
      <c r="B110" s="8"/>
      <c r="C110" s="8" t="s">
        <v>10</v>
      </c>
      <c r="D110" s="31">
        <f t="shared" ref="D110:I110" si="15">SUM(D106:D108)</f>
        <v>9032.7900000000009</v>
      </c>
      <c r="E110" s="31">
        <f t="shared" si="15"/>
        <v>181.27</v>
      </c>
      <c r="F110" s="30">
        <f t="shared" si="15"/>
        <v>159.74</v>
      </c>
      <c r="G110" s="30">
        <f t="shared" si="15"/>
        <v>0</v>
      </c>
      <c r="H110" s="30">
        <f t="shared" si="15"/>
        <v>0</v>
      </c>
      <c r="I110" s="30">
        <f t="shared" si="15"/>
        <v>0</v>
      </c>
      <c r="J110" s="31">
        <f>SUM(D110:I110)</f>
        <v>9373.8000000000011</v>
      </c>
      <c r="K110" s="8"/>
      <c r="L110" s="8"/>
    </row>
    <row r="111" spans="1:12" ht="15.75" thickTop="1">
      <c r="A111" s="8"/>
      <c r="B111" s="8"/>
      <c r="C111" s="8"/>
      <c r="D111" s="20"/>
      <c r="E111" s="20"/>
      <c r="F111" s="15"/>
      <c r="G111" s="15"/>
      <c r="H111" s="15"/>
      <c r="I111" s="15"/>
      <c r="J111" s="20"/>
      <c r="K111" s="8"/>
      <c r="L111" s="8"/>
    </row>
    <row r="112" spans="1:12">
      <c r="A112" s="8"/>
      <c r="B112" s="8"/>
      <c r="C112" s="8"/>
      <c r="D112" s="20"/>
      <c r="E112" s="20"/>
      <c r="F112" s="15"/>
      <c r="G112" s="15"/>
      <c r="H112" s="15"/>
      <c r="I112" s="15"/>
      <c r="J112" s="20"/>
      <c r="K112" s="8"/>
      <c r="L112" s="8"/>
    </row>
    <row r="113" spans="1:12" ht="15.75" thickBot="1">
      <c r="A113" s="8">
        <v>37</v>
      </c>
      <c r="B113" s="8" t="s">
        <v>30</v>
      </c>
      <c r="C113" s="8" t="s">
        <v>12</v>
      </c>
      <c r="D113" s="29">
        <v>11290.13</v>
      </c>
      <c r="E113" s="29">
        <v>315.66000000000003</v>
      </c>
      <c r="F113" s="28">
        <v>167.39</v>
      </c>
      <c r="G113" s="28">
        <v>0</v>
      </c>
      <c r="H113" s="28">
        <v>0</v>
      </c>
      <c r="I113" s="28">
        <v>0</v>
      </c>
      <c r="J113" s="29">
        <f>SUM(D113:I113)</f>
        <v>11773.179999999998</v>
      </c>
      <c r="K113" s="8"/>
      <c r="L113" s="8"/>
    </row>
    <row r="114" spans="1:12">
      <c r="A114" s="8"/>
      <c r="B114" s="8"/>
      <c r="C114" s="8"/>
      <c r="D114" s="20"/>
      <c r="E114" s="20"/>
      <c r="F114" s="15"/>
      <c r="G114" s="15"/>
      <c r="H114" s="15"/>
      <c r="I114" s="15"/>
      <c r="J114" s="20"/>
      <c r="K114" s="8"/>
      <c r="L114" s="8"/>
    </row>
    <row r="115" spans="1:12" ht="15.75" thickBot="1">
      <c r="A115" s="8"/>
      <c r="B115" s="8"/>
      <c r="C115" s="8" t="s">
        <v>10</v>
      </c>
      <c r="D115" s="31">
        <f t="shared" ref="D115:I115" si="16">SUM(D113:D114)</f>
        <v>11290.13</v>
      </c>
      <c r="E115" s="31">
        <f t="shared" si="16"/>
        <v>315.66000000000003</v>
      </c>
      <c r="F115" s="30">
        <f t="shared" si="16"/>
        <v>167.39</v>
      </c>
      <c r="G115" s="30">
        <f t="shared" si="16"/>
        <v>0</v>
      </c>
      <c r="H115" s="30">
        <f t="shared" si="16"/>
        <v>0</v>
      </c>
      <c r="I115" s="30">
        <f t="shared" si="16"/>
        <v>0</v>
      </c>
      <c r="J115" s="31">
        <f>SUM(D115:I115)</f>
        <v>11773.179999999998</v>
      </c>
      <c r="K115" s="8"/>
      <c r="L115" s="8"/>
    </row>
    <row r="116" spans="1:12" ht="15.75" thickTop="1">
      <c r="A116" s="8"/>
      <c r="B116" s="8"/>
      <c r="C116" s="8"/>
      <c r="D116" s="20"/>
      <c r="E116" s="20"/>
      <c r="F116" s="15"/>
      <c r="G116" s="15"/>
      <c r="H116" s="15"/>
      <c r="I116" s="15"/>
      <c r="J116" s="20"/>
      <c r="K116" s="8"/>
      <c r="L116" s="8"/>
    </row>
    <row r="117" spans="1:12">
      <c r="A117" s="8"/>
      <c r="B117" s="8"/>
      <c r="C117" s="8"/>
      <c r="D117" s="20"/>
      <c r="E117" s="20"/>
      <c r="F117" s="15"/>
      <c r="G117" s="15"/>
      <c r="H117" s="15"/>
      <c r="I117" s="15"/>
      <c r="J117" s="20"/>
      <c r="K117" s="8"/>
      <c r="L117" s="8"/>
    </row>
    <row r="118" spans="1:12">
      <c r="A118" s="8">
        <v>38</v>
      </c>
      <c r="B118" s="8" t="s">
        <v>31</v>
      </c>
      <c r="C118" s="8" t="s">
        <v>12</v>
      </c>
      <c r="D118" s="20">
        <v>8242.57</v>
      </c>
      <c r="E118" s="20">
        <v>78.87</v>
      </c>
      <c r="F118" s="15">
        <v>0</v>
      </c>
      <c r="G118" s="15">
        <v>0</v>
      </c>
      <c r="H118" s="15">
        <v>0</v>
      </c>
      <c r="I118" s="15">
        <v>0</v>
      </c>
      <c r="J118" s="20">
        <f>SUM(D118:I118)</f>
        <v>8321.44</v>
      </c>
      <c r="K118" s="8"/>
      <c r="L118" s="8"/>
    </row>
    <row r="119" spans="1:12">
      <c r="A119" s="8"/>
      <c r="B119" s="8"/>
      <c r="C119" s="8" t="s">
        <v>35</v>
      </c>
      <c r="D119" s="20">
        <v>646.69000000000005</v>
      </c>
      <c r="E119" s="20">
        <v>6.98</v>
      </c>
      <c r="F119" s="15">
        <v>0</v>
      </c>
      <c r="G119" s="15">
        <v>0</v>
      </c>
      <c r="H119" s="15">
        <v>0</v>
      </c>
      <c r="I119" s="15">
        <v>0</v>
      </c>
      <c r="J119" s="20">
        <f>SUM(D119:I119)</f>
        <v>653.67000000000007</v>
      </c>
      <c r="K119" s="8"/>
      <c r="L119" s="8"/>
    </row>
    <row r="120" spans="1:12">
      <c r="A120" s="8"/>
      <c r="B120" s="8"/>
      <c r="C120" s="8" t="s">
        <v>13</v>
      </c>
      <c r="D120" s="20">
        <v>250.15</v>
      </c>
      <c r="E120" s="20">
        <v>2.4700000000000002</v>
      </c>
      <c r="F120" s="15">
        <v>0</v>
      </c>
      <c r="G120" s="15">
        <v>0</v>
      </c>
      <c r="H120" s="15">
        <v>0</v>
      </c>
      <c r="I120" s="15">
        <v>0</v>
      </c>
      <c r="J120" s="20">
        <f>SUM(D120:I120)</f>
        <v>252.62</v>
      </c>
      <c r="K120" s="8"/>
      <c r="L120" s="8"/>
    </row>
    <row r="121" spans="1:12" ht="15.75" thickBot="1">
      <c r="A121" s="8"/>
      <c r="B121" s="8"/>
      <c r="C121" s="8" t="s">
        <v>78</v>
      </c>
      <c r="D121" s="29">
        <v>922.79</v>
      </c>
      <c r="E121" s="29">
        <v>7.21</v>
      </c>
      <c r="F121" s="28">
        <v>0</v>
      </c>
      <c r="G121" s="28">
        <v>0</v>
      </c>
      <c r="H121" s="28">
        <v>0</v>
      </c>
      <c r="I121" s="28">
        <v>0</v>
      </c>
      <c r="J121" s="29">
        <f>SUM(D121:I121)</f>
        <v>930</v>
      </c>
      <c r="K121" s="8"/>
      <c r="L121" s="8"/>
    </row>
    <row r="122" spans="1:12">
      <c r="A122" s="8"/>
      <c r="B122" s="8"/>
      <c r="C122" s="8"/>
      <c r="D122" s="20"/>
      <c r="E122" s="20"/>
      <c r="F122" s="15"/>
      <c r="G122" s="15"/>
      <c r="H122" s="15"/>
      <c r="I122" s="15"/>
      <c r="J122" s="20"/>
      <c r="K122" s="8"/>
      <c r="L122" s="8"/>
    </row>
    <row r="123" spans="1:12" ht="15.75" thickBot="1">
      <c r="A123" s="8"/>
      <c r="B123" s="8"/>
      <c r="C123" s="8" t="s">
        <v>10</v>
      </c>
      <c r="D123" s="31">
        <f t="shared" ref="D123:I123" si="17">SUM(D118:D121)</f>
        <v>10062.200000000001</v>
      </c>
      <c r="E123" s="31">
        <f t="shared" si="17"/>
        <v>95.53</v>
      </c>
      <c r="F123" s="30">
        <f t="shared" si="17"/>
        <v>0</v>
      </c>
      <c r="G123" s="30">
        <f t="shared" si="17"/>
        <v>0</v>
      </c>
      <c r="H123" s="30">
        <f t="shared" si="17"/>
        <v>0</v>
      </c>
      <c r="I123" s="30">
        <f t="shared" si="17"/>
        <v>0</v>
      </c>
      <c r="J123" s="31">
        <f>SUM(D123:I123)</f>
        <v>10157.730000000001</v>
      </c>
      <c r="K123" s="8"/>
      <c r="L123" s="8"/>
    </row>
    <row r="124" spans="1:12" ht="15.75" thickTop="1">
      <c r="A124" s="8"/>
      <c r="B124" s="8"/>
      <c r="C124" s="8"/>
      <c r="D124" s="20"/>
      <c r="E124" s="20"/>
      <c r="F124" s="15"/>
      <c r="G124" s="15"/>
      <c r="H124" s="15"/>
      <c r="I124" s="15"/>
      <c r="J124" s="20"/>
      <c r="K124" s="8"/>
      <c r="L124" s="8"/>
    </row>
    <row r="125" spans="1:12">
      <c r="A125" s="8"/>
      <c r="B125" s="8"/>
      <c r="C125" s="8"/>
      <c r="D125" s="20"/>
      <c r="E125" s="20"/>
      <c r="F125" s="15"/>
      <c r="G125" s="15"/>
      <c r="H125" s="15"/>
      <c r="I125" s="15"/>
      <c r="J125" s="20"/>
      <c r="K125" s="8"/>
      <c r="L125" s="8"/>
    </row>
    <row r="126" spans="1:12" ht="15.75" thickBot="1">
      <c r="A126" s="8">
        <v>39</v>
      </c>
      <c r="B126" s="8" t="s">
        <v>32</v>
      </c>
      <c r="C126" s="8" t="s">
        <v>12</v>
      </c>
      <c r="D126" s="29">
        <v>0</v>
      </c>
      <c r="E126" s="29">
        <v>0</v>
      </c>
      <c r="F126" s="28">
        <v>0</v>
      </c>
      <c r="G126" s="28">
        <v>0</v>
      </c>
      <c r="H126" s="28">
        <v>0</v>
      </c>
      <c r="I126" s="28">
        <v>0</v>
      </c>
      <c r="J126" s="29">
        <f>SUM(D126:I126)</f>
        <v>0</v>
      </c>
      <c r="K126" s="8"/>
      <c r="L126" s="8"/>
    </row>
    <row r="127" spans="1:12">
      <c r="A127" s="8"/>
      <c r="B127" s="8"/>
      <c r="C127" s="8"/>
      <c r="D127" s="20"/>
      <c r="E127" s="20"/>
      <c r="F127" s="15"/>
      <c r="G127" s="15"/>
      <c r="H127" s="15"/>
      <c r="I127" s="15"/>
      <c r="J127" s="20"/>
      <c r="K127" s="8"/>
      <c r="L127" s="8"/>
    </row>
    <row r="128" spans="1:12" ht="15.75" thickBot="1">
      <c r="A128" s="8"/>
      <c r="B128" s="8"/>
      <c r="C128" s="8" t="s">
        <v>10</v>
      </c>
      <c r="D128" s="31">
        <f>D126</f>
        <v>0</v>
      </c>
      <c r="E128" s="31">
        <f t="shared" ref="E128:J128" si="18">E126</f>
        <v>0</v>
      </c>
      <c r="F128" s="30">
        <f t="shared" si="18"/>
        <v>0</v>
      </c>
      <c r="G128" s="30">
        <f t="shared" si="18"/>
        <v>0</v>
      </c>
      <c r="H128" s="30">
        <f t="shared" si="18"/>
        <v>0</v>
      </c>
      <c r="I128" s="30">
        <f t="shared" si="18"/>
        <v>0</v>
      </c>
      <c r="J128" s="30">
        <f t="shared" si="18"/>
        <v>0</v>
      </c>
      <c r="K128" s="8"/>
      <c r="L128" s="8"/>
    </row>
    <row r="129" spans="1:12" ht="15.75" thickTop="1">
      <c r="A129" s="8"/>
      <c r="B129" s="8"/>
      <c r="C129" s="8"/>
      <c r="D129" s="20"/>
      <c r="E129" s="20"/>
      <c r="F129" s="15"/>
      <c r="G129" s="15"/>
      <c r="H129" s="15"/>
      <c r="I129" s="15"/>
      <c r="J129" s="20"/>
      <c r="K129" s="8"/>
      <c r="L129" s="8"/>
    </row>
    <row r="130" spans="1:12">
      <c r="A130" s="8"/>
      <c r="B130" s="8"/>
      <c r="C130" s="8"/>
      <c r="D130" s="20"/>
      <c r="E130" s="20"/>
      <c r="F130" s="15"/>
      <c r="G130" s="15"/>
      <c r="H130" s="15"/>
      <c r="I130" s="15"/>
      <c r="J130" s="20"/>
      <c r="K130" s="8"/>
      <c r="L130" s="8"/>
    </row>
    <row r="131" spans="1:12" ht="15.75" thickBot="1">
      <c r="A131" s="8">
        <v>40</v>
      </c>
      <c r="B131" s="8" t="s">
        <v>33</v>
      </c>
      <c r="C131" s="8" t="s">
        <v>12</v>
      </c>
      <c r="D131" s="29">
        <v>9148.91</v>
      </c>
      <c r="E131" s="34">
        <v>0</v>
      </c>
      <c r="F131" s="28">
        <v>0</v>
      </c>
      <c r="G131" s="28">
        <v>0</v>
      </c>
      <c r="H131" s="28">
        <v>0</v>
      </c>
      <c r="I131" s="28">
        <v>0</v>
      </c>
      <c r="J131" s="29">
        <f>SUM(D131:I131)</f>
        <v>9148.91</v>
      </c>
      <c r="K131" s="8"/>
      <c r="L131" s="8"/>
    </row>
    <row r="132" spans="1:12">
      <c r="A132" s="8"/>
      <c r="B132" s="8"/>
      <c r="C132" s="8"/>
      <c r="D132" s="20"/>
      <c r="E132" s="35"/>
      <c r="F132" s="15"/>
      <c r="G132" s="15"/>
      <c r="H132" s="15"/>
      <c r="I132" s="15"/>
      <c r="J132" s="20"/>
      <c r="K132" s="8"/>
      <c r="L132" s="8"/>
    </row>
    <row r="133" spans="1:12" ht="15.75" thickBot="1">
      <c r="A133" s="8"/>
      <c r="B133" s="8"/>
      <c r="C133" s="8" t="s">
        <v>10</v>
      </c>
      <c r="D133" s="31">
        <f t="shared" ref="D133:I133" si="19">SUM(D131:D132)</f>
        <v>9148.91</v>
      </c>
      <c r="E133" s="44">
        <f t="shared" si="19"/>
        <v>0</v>
      </c>
      <c r="F133" s="30">
        <f t="shared" si="19"/>
        <v>0</v>
      </c>
      <c r="G133" s="30">
        <f t="shared" si="19"/>
        <v>0</v>
      </c>
      <c r="H133" s="30">
        <f t="shared" si="19"/>
        <v>0</v>
      </c>
      <c r="I133" s="30">
        <f t="shared" si="19"/>
        <v>0</v>
      </c>
      <c r="J133" s="31">
        <f>SUM(D133:I133)</f>
        <v>9148.91</v>
      </c>
      <c r="K133" s="8"/>
      <c r="L133" s="8"/>
    </row>
    <row r="134" spans="1:12" ht="15.75" thickTop="1">
      <c r="A134" s="8"/>
      <c r="B134" s="8"/>
      <c r="C134" s="8"/>
      <c r="D134" s="20"/>
      <c r="E134" s="20"/>
      <c r="F134" s="15"/>
      <c r="G134" s="15"/>
      <c r="H134" s="15"/>
      <c r="I134" s="15"/>
      <c r="J134" s="20"/>
      <c r="K134" s="8"/>
      <c r="L134" s="8"/>
    </row>
    <row r="135" spans="1:12">
      <c r="A135" s="8"/>
      <c r="B135" s="8"/>
      <c r="C135" s="8"/>
      <c r="D135" s="20"/>
      <c r="E135" s="20"/>
      <c r="F135" s="15"/>
      <c r="G135" s="15"/>
      <c r="H135" s="15"/>
      <c r="I135" s="15"/>
      <c r="J135" s="20"/>
      <c r="K135" s="8"/>
      <c r="L135" s="8"/>
    </row>
    <row r="136" spans="1:12">
      <c r="A136" s="8">
        <v>41</v>
      </c>
      <c r="B136" s="8" t="s">
        <v>34</v>
      </c>
      <c r="C136" s="8" t="s">
        <v>12</v>
      </c>
      <c r="D136" s="20">
        <v>9286.6200000000008</v>
      </c>
      <c r="E136" s="41">
        <v>0</v>
      </c>
      <c r="F136" s="15">
        <v>0</v>
      </c>
      <c r="G136" s="15">
        <v>0</v>
      </c>
      <c r="H136" s="15">
        <v>0</v>
      </c>
      <c r="I136" s="15">
        <v>0</v>
      </c>
      <c r="J136" s="20">
        <f>SUM(D136:I136)</f>
        <v>9286.6200000000008</v>
      </c>
      <c r="K136" s="8"/>
      <c r="L136" s="8"/>
    </row>
    <row r="137" spans="1:12">
      <c r="A137" s="8"/>
      <c r="B137" s="8"/>
      <c r="C137" s="38" t="s">
        <v>35</v>
      </c>
      <c r="D137" s="20">
        <v>515.94000000000005</v>
      </c>
      <c r="E137" s="41">
        <v>0</v>
      </c>
      <c r="F137" s="15">
        <v>0</v>
      </c>
      <c r="G137" s="15">
        <v>0</v>
      </c>
      <c r="H137" s="15">
        <v>0</v>
      </c>
      <c r="I137" s="15">
        <v>0</v>
      </c>
      <c r="J137" s="20">
        <f>SUM(D137:I137)</f>
        <v>515.94000000000005</v>
      </c>
      <c r="K137" s="8"/>
      <c r="L137" s="8"/>
    </row>
    <row r="138" spans="1:12" ht="15.75" thickBot="1">
      <c r="A138" s="8"/>
      <c r="B138" s="8"/>
      <c r="C138" s="38" t="s">
        <v>109</v>
      </c>
      <c r="D138" s="29">
        <v>1470.48</v>
      </c>
      <c r="E138" s="42">
        <v>0</v>
      </c>
      <c r="F138" s="28">
        <v>0</v>
      </c>
      <c r="G138" s="28">
        <v>0</v>
      </c>
      <c r="H138" s="28">
        <v>0</v>
      </c>
      <c r="I138" s="28">
        <v>0</v>
      </c>
      <c r="J138" s="29">
        <f>SUM(D138:I138)</f>
        <v>1470.48</v>
      </c>
      <c r="K138" s="8"/>
      <c r="L138" s="8"/>
    </row>
    <row r="139" spans="1:12">
      <c r="A139" s="8"/>
      <c r="B139" s="8"/>
      <c r="C139" s="8"/>
      <c r="D139" s="20"/>
      <c r="E139" s="41"/>
      <c r="F139" s="15"/>
      <c r="G139" s="15"/>
      <c r="H139" s="15"/>
      <c r="I139" s="15"/>
      <c r="J139" s="20"/>
      <c r="K139" s="8"/>
      <c r="L139" s="8"/>
    </row>
    <row r="140" spans="1:12" ht="15.75" thickBot="1">
      <c r="A140" s="8"/>
      <c r="B140" s="8"/>
      <c r="C140" s="8" t="s">
        <v>10</v>
      </c>
      <c r="D140" s="31">
        <f t="shared" ref="D140:I140" si="20">SUM(D136:D138)</f>
        <v>11273.04</v>
      </c>
      <c r="E140" s="43">
        <f t="shared" si="20"/>
        <v>0</v>
      </c>
      <c r="F140" s="30">
        <f t="shared" si="20"/>
        <v>0</v>
      </c>
      <c r="G140" s="30">
        <f t="shared" si="20"/>
        <v>0</v>
      </c>
      <c r="H140" s="30">
        <f t="shared" si="20"/>
        <v>0</v>
      </c>
      <c r="I140" s="30">
        <f t="shared" si="20"/>
        <v>0</v>
      </c>
      <c r="J140" s="31">
        <f>SUM(D140:I140)</f>
        <v>11273.04</v>
      </c>
      <c r="K140" s="8"/>
      <c r="L140" s="8"/>
    </row>
    <row r="141" spans="1:12" ht="15.75" thickTop="1">
      <c r="A141" s="8"/>
      <c r="B141" s="8"/>
      <c r="C141" s="8"/>
      <c r="D141" s="20"/>
      <c r="E141" s="20"/>
      <c r="F141" s="15"/>
      <c r="G141" s="15"/>
      <c r="H141" s="15"/>
      <c r="I141" s="15"/>
      <c r="J141" s="20"/>
      <c r="K141" s="8"/>
      <c r="L141" s="8"/>
    </row>
    <row r="142" spans="1:12">
      <c r="A142" s="8"/>
      <c r="B142" s="8"/>
      <c r="C142" s="8"/>
      <c r="D142" s="20"/>
      <c r="E142" s="20"/>
      <c r="F142" s="15"/>
      <c r="G142" s="15"/>
      <c r="H142" s="15"/>
      <c r="I142" s="15"/>
      <c r="J142" s="20"/>
      <c r="K142" s="8"/>
      <c r="L142" s="8"/>
    </row>
    <row r="143" spans="1:12">
      <c r="A143" s="8">
        <v>42</v>
      </c>
      <c r="B143" s="8" t="s">
        <v>36</v>
      </c>
      <c r="C143" s="8" t="s">
        <v>12</v>
      </c>
      <c r="D143" s="20">
        <v>12708.08</v>
      </c>
      <c r="E143" s="20">
        <v>518.99</v>
      </c>
      <c r="F143" s="40">
        <v>311.37</v>
      </c>
      <c r="G143" s="15">
        <v>0</v>
      </c>
      <c r="H143" s="15">
        <v>0</v>
      </c>
      <c r="I143" s="15">
        <v>0</v>
      </c>
      <c r="J143" s="20">
        <f>SUM(D143:I143)</f>
        <v>13538.44</v>
      </c>
      <c r="K143" s="8"/>
      <c r="L143" s="8"/>
    </row>
    <row r="144" spans="1:12" ht="15.75" thickBot="1">
      <c r="A144" s="8"/>
      <c r="B144" s="8"/>
      <c r="C144" s="8" t="s">
        <v>13</v>
      </c>
      <c r="D144" s="29">
        <v>461.65</v>
      </c>
      <c r="E144" s="29">
        <v>25.98</v>
      </c>
      <c r="F144" s="28">
        <v>11.94</v>
      </c>
      <c r="G144" s="28">
        <v>0</v>
      </c>
      <c r="H144" s="28">
        <v>0</v>
      </c>
      <c r="I144" s="28">
        <v>0</v>
      </c>
      <c r="J144" s="29">
        <f>SUM(D144:I144)</f>
        <v>499.57</v>
      </c>
      <c r="K144" s="8"/>
      <c r="L144" s="8"/>
    </row>
    <row r="145" spans="1:12">
      <c r="A145" s="8"/>
      <c r="B145" s="8"/>
      <c r="C145" s="8"/>
      <c r="D145" s="20"/>
      <c r="E145" s="20"/>
      <c r="F145" s="15"/>
      <c r="G145" s="15"/>
      <c r="H145" s="15"/>
      <c r="I145" s="15"/>
      <c r="J145" s="20"/>
      <c r="K145" s="8"/>
      <c r="L145" s="8"/>
    </row>
    <row r="146" spans="1:12" ht="15.75" thickBot="1">
      <c r="A146" s="8"/>
      <c r="B146" s="8"/>
      <c r="C146" s="8" t="s">
        <v>10</v>
      </c>
      <c r="D146" s="31">
        <f t="shared" ref="D146:I146" si="21">SUM(D143:D144)</f>
        <v>13169.73</v>
      </c>
      <c r="E146" s="31">
        <f t="shared" si="21"/>
        <v>544.97</v>
      </c>
      <c r="F146" s="30">
        <f t="shared" si="21"/>
        <v>323.31</v>
      </c>
      <c r="G146" s="30">
        <f t="shared" si="21"/>
        <v>0</v>
      </c>
      <c r="H146" s="30">
        <f t="shared" si="21"/>
        <v>0</v>
      </c>
      <c r="I146" s="30">
        <f t="shared" si="21"/>
        <v>0</v>
      </c>
      <c r="J146" s="31">
        <f>SUM(D146:I146)</f>
        <v>14038.009999999998</v>
      </c>
      <c r="K146" s="8"/>
      <c r="L146" s="8"/>
    </row>
    <row r="147" spans="1:12" ht="15.75" thickTop="1">
      <c r="A147" s="8"/>
      <c r="B147" s="8"/>
      <c r="C147" s="8"/>
      <c r="D147" s="20"/>
      <c r="E147" s="20"/>
      <c r="F147" s="15"/>
      <c r="G147" s="15"/>
      <c r="H147" s="15"/>
      <c r="I147" s="15"/>
      <c r="J147" s="20"/>
      <c r="K147" s="8"/>
      <c r="L147" s="8"/>
    </row>
    <row r="148" spans="1:12">
      <c r="A148" s="8"/>
      <c r="B148" s="8"/>
      <c r="C148" s="8"/>
      <c r="D148" s="20"/>
      <c r="E148" s="20"/>
      <c r="F148" s="15"/>
      <c r="G148" s="15"/>
      <c r="H148" s="15"/>
      <c r="I148" s="15"/>
      <c r="J148" s="20"/>
      <c r="K148" s="8"/>
      <c r="L148" s="8"/>
    </row>
    <row r="149" spans="1:12">
      <c r="A149" s="8">
        <v>43</v>
      </c>
      <c r="B149" s="8" t="s">
        <v>37</v>
      </c>
      <c r="C149" s="8" t="s">
        <v>12</v>
      </c>
      <c r="D149" s="20">
        <v>7887.52</v>
      </c>
      <c r="E149" s="35">
        <v>0</v>
      </c>
      <c r="F149" s="15">
        <v>0</v>
      </c>
      <c r="G149" s="15">
        <v>0</v>
      </c>
      <c r="H149" s="15">
        <v>0</v>
      </c>
      <c r="I149" s="15">
        <v>0</v>
      </c>
      <c r="J149" s="20">
        <f>SUM(D149:I149)</f>
        <v>7887.52</v>
      </c>
      <c r="K149" s="8"/>
      <c r="L149" s="8"/>
    </row>
    <row r="150" spans="1:12">
      <c r="A150" s="8"/>
      <c r="B150" s="8"/>
      <c r="C150" s="8" t="s">
        <v>35</v>
      </c>
      <c r="D150" s="20">
        <v>438.1</v>
      </c>
      <c r="E150" s="35">
        <v>0</v>
      </c>
      <c r="F150" s="15">
        <v>0</v>
      </c>
      <c r="G150" s="15">
        <v>0</v>
      </c>
      <c r="H150" s="15">
        <v>0</v>
      </c>
      <c r="I150" s="15">
        <v>0</v>
      </c>
      <c r="J150" s="20">
        <f>SUM(D150:I150)</f>
        <v>438.1</v>
      </c>
      <c r="K150" s="8"/>
      <c r="L150" s="8"/>
    </row>
    <row r="151" spans="1:12">
      <c r="A151" s="8"/>
      <c r="B151" s="8"/>
      <c r="C151" s="8" t="s">
        <v>13</v>
      </c>
      <c r="D151" s="20">
        <v>210.61</v>
      </c>
      <c r="E151" s="35">
        <v>0</v>
      </c>
      <c r="F151" s="15">
        <v>0</v>
      </c>
      <c r="G151" s="15">
        <v>0</v>
      </c>
      <c r="H151" s="15">
        <v>0</v>
      </c>
      <c r="I151" s="15">
        <v>0</v>
      </c>
      <c r="J151" s="20">
        <f>SUM(D151:I151)</f>
        <v>210.61</v>
      </c>
      <c r="K151" s="8"/>
      <c r="L151" s="8"/>
    </row>
    <row r="152" spans="1:12" ht="15.75" thickBot="1">
      <c r="A152" s="8"/>
      <c r="B152" s="8"/>
      <c r="C152" s="8" t="s">
        <v>78</v>
      </c>
      <c r="D152" s="29">
        <v>990.27</v>
      </c>
      <c r="E152" s="34">
        <v>0</v>
      </c>
      <c r="F152" s="28">
        <v>0</v>
      </c>
      <c r="G152" s="28">
        <v>0</v>
      </c>
      <c r="H152" s="28">
        <v>0</v>
      </c>
      <c r="I152" s="28">
        <v>0</v>
      </c>
      <c r="J152" s="29">
        <f>SUM(D152:I152)</f>
        <v>990.27</v>
      </c>
      <c r="K152" s="8"/>
      <c r="L152" s="8"/>
    </row>
    <row r="153" spans="1:12">
      <c r="A153" s="8"/>
      <c r="B153" s="8"/>
      <c r="C153" s="8"/>
      <c r="D153" s="20"/>
      <c r="E153" s="35"/>
      <c r="F153" s="15"/>
      <c r="G153" s="15"/>
      <c r="H153" s="15"/>
      <c r="I153" s="15"/>
      <c r="J153" s="20"/>
      <c r="K153" s="8"/>
      <c r="L153" s="8"/>
    </row>
    <row r="154" spans="1:12" ht="15.75" thickBot="1">
      <c r="A154" s="8"/>
      <c r="B154" s="8"/>
      <c r="C154" s="8" t="s">
        <v>10</v>
      </c>
      <c r="D154" s="31">
        <f t="shared" ref="D154:I154" si="22">SUM(D149:D152)</f>
        <v>9526.5000000000018</v>
      </c>
      <c r="E154" s="44">
        <f>SUM(E149:E152)</f>
        <v>0</v>
      </c>
      <c r="F154" s="30">
        <f t="shared" si="22"/>
        <v>0</v>
      </c>
      <c r="G154" s="30">
        <f t="shared" si="22"/>
        <v>0</v>
      </c>
      <c r="H154" s="30">
        <f t="shared" si="22"/>
        <v>0</v>
      </c>
      <c r="I154" s="30">
        <f t="shared" si="22"/>
        <v>0</v>
      </c>
      <c r="J154" s="31">
        <f>SUM(D154:I154)</f>
        <v>9526.5000000000018</v>
      </c>
      <c r="K154" s="8"/>
      <c r="L154" s="8"/>
    </row>
    <row r="155" spans="1:12" ht="15.75" thickTop="1">
      <c r="A155" s="8"/>
      <c r="B155" s="8"/>
      <c r="C155" s="8"/>
      <c r="D155" s="20"/>
      <c r="E155" s="20"/>
      <c r="F155" s="15"/>
      <c r="G155" s="15"/>
      <c r="H155" s="15"/>
      <c r="I155" s="15"/>
      <c r="J155" s="20"/>
      <c r="K155" s="8"/>
      <c r="L155" s="8"/>
    </row>
    <row r="156" spans="1:12">
      <c r="A156" s="8"/>
      <c r="B156" s="8"/>
      <c r="C156" s="8"/>
      <c r="D156" s="20"/>
      <c r="E156" s="20"/>
      <c r="F156" s="15"/>
      <c r="G156" s="15"/>
      <c r="H156" s="15"/>
      <c r="I156" s="15"/>
      <c r="J156" s="20"/>
      <c r="K156" s="8"/>
      <c r="L156" s="8"/>
    </row>
    <row r="157" spans="1:12" ht="15.75" thickBot="1">
      <c r="A157" s="8">
        <v>44</v>
      </c>
      <c r="B157" s="8" t="s">
        <v>38</v>
      </c>
      <c r="C157" s="8" t="s">
        <v>12</v>
      </c>
      <c r="D157" s="29">
        <v>18159.810000000001</v>
      </c>
      <c r="E157" s="29">
        <v>710.18</v>
      </c>
      <c r="F157" s="28">
        <v>293.56</v>
      </c>
      <c r="G157" s="28">
        <v>0</v>
      </c>
      <c r="H157" s="28">
        <v>0</v>
      </c>
      <c r="I157" s="28">
        <v>0</v>
      </c>
      <c r="J157" s="29">
        <f>SUM(D157:I157)</f>
        <v>19163.550000000003</v>
      </c>
      <c r="K157" s="8"/>
      <c r="L157" s="8"/>
    </row>
    <row r="158" spans="1:12">
      <c r="A158" s="8"/>
      <c r="B158" s="8"/>
      <c r="C158" s="8"/>
      <c r="D158" s="20"/>
      <c r="E158" s="20"/>
      <c r="F158" s="15"/>
      <c r="G158" s="15"/>
      <c r="H158" s="15"/>
      <c r="I158" s="15"/>
      <c r="J158" s="20"/>
      <c r="K158" s="8"/>
      <c r="L158" s="8"/>
    </row>
    <row r="159" spans="1:12" ht="15.75" thickBot="1">
      <c r="A159" s="8"/>
      <c r="B159" s="8"/>
      <c r="C159" s="8" t="s">
        <v>10</v>
      </c>
      <c r="D159" s="31">
        <f t="shared" ref="D159:I159" si="23">SUM(D157:D158)</f>
        <v>18159.810000000001</v>
      </c>
      <c r="E159" s="31">
        <f t="shared" si="23"/>
        <v>710.18</v>
      </c>
      <c r="F159" s="30">
        <f t="shared" si="23"/>
        <v>293.56</v>
      </c>
      <c r="G159" s="30">
        <f t="shared" si="23"/>
        <v>0</v>
      </c>
      <c r="H159" s="30">
        <f t="shared" si="23"/>
        <v>0</v>
      </c>
      <c r="I159" s="30">
        <f t="shared" si="23"/>
        <v>0</v>
      </c>
      <c r="J159" s="31">
        <f>SUM(D159:I159)</f>
        <v>19163.550000000003</v>
      </c>
      <c r="K159" s="8"/>
      <c r="L159" s="8"/>
    </row>
    <row r="160" spans="1:12" ht="15.75" thickTop="1">
      <c r="A160" s="8"/>
      <c r="B160" s="8"/>
      <c r="C160" s="8"/>
      <c r="D160" s="20"/>
      <c r="E160" s="20"/>
      <c r="F160" s="15"/>
      <c r="G160" s="15" t="s">
        <v>70</v>
      </c>
      <c r="H160" s="15" t="s">
        <v>70</v>
      </c>
      <c r="I160" s="15" t="s">
        <v>70</v>
      </c>
      <c r="J160" s="20"/>
      <c r="K160" s="8"/>
      <c r="L160" s="8"/>
    </row>
    <row r="161" spans="1:12">
      <c r="A161" s="8"/>
      <c r="B161" s="8"/>
      <c r="C161" s="8"/>
      <c r="D161" s="20"/>
      <c r="E161" s="20"/>
      <c r="F161" s="15"/>
      <c r="G161" s="15"/>
      <c r="H161" s="15"/>
      <c r="I161" s="15"/>
      <c r="J161" s="20"/>
      <c r="K161" s="8"/>
      <c r="L161" s="8"/>
    </row>
    <row r="162" spans="1:12" ht="15.75" thickBot="1">
      <c r="A162" s="8">
        <v>45</v>
      </c>
      <c r="B162" s="8" t="s">
        <v>39</v>
      </c>
      <c r="C162" s="8" t="s">
        <v>12</v>
      </c>
      <c r="D162" s="29">
        <v>14300.67</v>
      </c>
      <c r="E162" s="29">
        <v>923.9</v>
      </c>
      <c r="F162" s="28">
        <v>767.16</v>
      </c>
      <c r="G162" s="28">
        <v>0</v>
      </c>
      <c r="H162" s="28">
        <v>0</v>
      </c>
      <c r="I162" s="28">
        <v>0</v>
      </c>
      <c r="J162" s="29">
        <f>SUM(D162:I162)</f>
        <v>15991.73</v>
      </c>
      <c r="K162" s="8"/>
      <c r="L162" s="8"/>
    </row>
    <row r="163" spans="1:12">
      <c r="A163" s="8"/>
      <c r="B163" s="8"/>
      <c r="C163" s="8"/>
      <c r="D163" s="20"/>
      <c r="E163" s="20"/>
      <c r="F163" s="15"/>
      <c r="G163" s="15"/>
      <c r="H163" s="15"/>
      <c r="I163" s="15"/>
      <c r="J163" s="20"/>
      <c r="K163" s="8"/>
      <c r="L163" s="8"/>
    </row>
    <row r="164" spans="1:12" ht="15.75" thickBot="1">
      <c r="A164" s="8"/>
      <c r="B164" s="8"/>
      <c r="C164" s="8" t="s">
        <v>10</v>
      </c>
      <c r="D164" s="31">
        <f t="shared" ref="D164:I164" si="24">SUM(D162:D163)</f>
        <v>14300.67</v>
      </c>
      <c r="E164" s="31">
        <f t="shared" si="24"/>
        <v>923.9</v>
      </c>
      <c r="F164" s="30">
        <f t="shared" si="24"/>
        <v>767.16</v>
      </c>
      <c r="G164" s="30">
        <f t="shared" si="24"/>
        <v>0</v>
      </c>
      <c r="H164" s="30">
        <f t="shared" si="24"/>
        <v>0</v>
      </c>
      <c r="I164" s="30">
        <f t="shared" si="24"/>
        <v>0</v>
      </c>
      <c r="J164" s="31">
        <f>SUM(D164:I164)</f>
        <v>15991.73</v>
      </c>
      <c r="K164" s="8"/>
      <c r="L164" s="8"/>
    </row>
    <row r="165" spans="1:12" ht="15.75" thickTop="1">
      <c r="A165" s="8"/>
      <c r="B165" s="8"/>
      <c r="C165" s="8"/>
      <c r="D165" s="20"/>
      <c r="E165" s="20"/>
      <c r="F165" s="15"/>
      <c r="G165" s="15"/>
      <c r="H165" s="15"/>
      <c r="I165" s="15"/>
      <c r="J165" s="20"/>
      <c r="K165" s="8"/>
      <c r="L165" s="8"/>
    </row>
    <row r="166" spans="1:12">
      <c r="A166" s="8"/>
      <c r="B166" s="8"/>
      <c r="C166" s="8"/>
      <c r="D166" s="20"/>
      <c r="E166" s="20"/>
      <c r="F166" s="15"/>
      <c r="G166" s="15"/>
      <c r="H166" s="15"/>
      <c r="I166" s="15"/>
      <c r="J166" s="20"/>
      <c r="K166" s="8"/>
      <c r="L166" s="8"/>
    </row>
    <row r="167" spans="1:12" ht="15.75" thickBot="1">
      <c r="A167" s="8">
        <v>46</v>
      </c>
      <c r="B167" s="8" t="s">
        <v>40</v>
      </c>
      <c r="C167" s="8" t="s">
        <v>12</v>
      </c>
      <c r="D167" s="29">
        <v>7834.74</v>
      </c>
      <c r="E167" s="34">
        <v>0</v>
      </c>
      <c r="F167" s="28">
        <v>0</v>
      </c>
      <c r="G167" s="28">
        <v>0</v>
      </c>
      <c r="H167" s="28">
        <v>0</v>
      </c>
      <c r="I167" s="28">
        <v>0</v>
      </c>
      <c r="J167" s="29">
        <f>SUM(D167:I167)</f>
        <v>7834.74</v>
      </c>
      <c r="K167" s="8"/>
      <c r="L167" s="8"/>
    </row>
    <row r="168" spans="1:12">
      <c r="A168" s="8"/>
      <c r="B168" s="8"/>
      <c r="C168" s="8"/>
      <c r="D168" s="20"/>
      <c r="E168" s="35"/>
      <c r="F168" s="15"/>
      <c r="G168" s="15"/>
      <c r="H168" s="15"/>
      <c r="I168" s="15"/>
      <c r="J168" s="20"/>
      <c r="K168" s="8"/>
      <c r="L168" s="8"/>
    </row>
    <row r="169" spans="1:12" ht="15.75" thickBot="1">
      <c r="A169" s="8"/>
      <c r="B169" s="8"/>
      <c r="C169" s="8" t="s">
        <v>10</v>
      </c>
      <c r="D169" s="31">
        <f t="shared" ref="D169:I169" si="25">SUM(D167:D168)</f>
        <v>7834.74</v>
      </c>
      <c r="E169" s="44">
        <f t="shared" si="25"/>
        <v>0</v>
      </c>
      <c r="F169" s="30">
        <f t="shared" si="25"/>
        <v>0</v>
      </c>
      <c r="G169" s="30">
        <f t="shared" si="25"/>
        <v>0</v>
      </c>
      <c r="H169" s="30">
        <f t="shared" si="25"/>
        <v>0</v>
      </c>
      <c r="I169" s="30">
        <f t="shared" si="25"/>
        <v>0</v>
      </c>
      <c r="J169" s="31">
        <f>SUM(D169:I169)</f>
        <v>7834.74</v>
      </c>
      <c r="K169" s="8"/>
      <c r="L169" s="8"/>
    </row>
    <row r="170" spans="1:12" ht="15.75" thickTop="1">
      <c r="A170" s="8"/>
      <c r="B170" s="8"/>
      <c r="C170" s="8"/>
      <c r="D170" s="20"/>
      <c r="E170" s="20"/>
      <c r="F170" s="15"/>
      <c r="G170" s="15"/>
      <c r="H170" s="15"/>
      <c r="I170" s="15"/>
      <c r="J170" s="20"/>
      <c r="K170" s="8"/>
      <c r="L170" s="8"/>
    </row>
    <row r="171" spans="1:12">
      <c r="A171" s="8"/>
      <c r="B171" s="8"/>
      <c r="C171" s="8"/>
      <c r="D171" s="20"/>
      <c r="E171" s="20"/>
      <c r="F171" s="15"/>
      <c r="G171" s="15"/>
      <c r="H171" s="15"/>
      <c r="I171" s="15"/>
      <c r="J171" s="20"/>
      <c r="K171" s="8"/>
      <c r="L171" s="8"/>
    </row>
    <row r="172" spans="1:12" ht="15.75" thickBot="1">
      <c r="A172" s="8">
        <v>47</v>
      </c>
      <c r="B172" s="8" t="s">
        <v>41</v>
      </c>
      <c r="C172" s="8" t="s">
        <v>12</v>
      </c>
      <c r="D172" s="29">
        <v>8526.2099999999991</v>
      </c>
      <c r="E172" s="29">
        <v>535.86</v>
      </c>
      <c r="F172" s="28">
        <v>102.76</v>
      </c>
      <c r="G172" s="28">
        <v>0</v>
      </c>
      <c r="H172" s="28">
        <v>0</v>
      </c>
      <c r="I172" s="28">
        <v>0</v>
      </c>
      <c r="J172" s="29">
        <f>SUM(D172:I172)</f>
        <v>9164.83</v>
      </c>
      <c r="K172" s="8"/>
      <c r="L172" s="8"/>
    </row>
    <row r="173" spans="1:12">
      <c r="A173" s="8"/>
      <c r="B173" s="8"/>
      <c r="C173" s="8"/>
      <c r="D173" s="20"/>
      <c r="E173" s="20"/>
      <c r="F173" s="15"/>
      <c r="G173" s="15"/>
      <c r="H173" s="15"/>
      <c r="I173" s="15"/>
      <c r="J173" s="20"/>
      <c r="K173" s="8"/>
      <c r="L173" s="8"/>
    </row>
    <row r="174" spans="1:12" ht="15.75" thickBot="1">
      <c r="A174" s="8"/>
      <c r="B174" s="8"/>
      <c r="C174" s="8" t="s">
        <v>10</v>
      </c>
      <c r="D174" s="31">
        <f t="shared" ref="D174:I174" si="26">SUM(D172:D173)</f>
        <v>8526.2099999999991</v>
      </c>
      <c r="E174" s="31">
        <f t="shared" si="26"/>
        <v>535.86</v>
      </c>
      <c r="F174" s="30">
        <f t="shared" si="26"/>
        <v>102.76</v>
      </c>
      <c r="G174" s="30">
        <f t="shared" si="26"/>
        <v>0</v>
      </c>
      <c r="H174" s="30">
        <f t="shared" si="26"/>
        <v>0</v>
      </c>
      <c r="I174" s="30">
        <f t="shared" si="26"/>
        <v>0</v>
      </c>
      <c r="J174" s="31">
        <f>SUM(D174:I174)</f>
        <v>9164.83</v>
      </c>
      <c r="K174" s="8"/>
      <c r="L174" s="8"/>
    </row>
    <row r="175" spans="1:12" ht="15.75" thickTop="1">
      <c r="A175" s="8"/>
      <c r="B175" s="8"/>
      <c r="C175" s="8"/>
      <c r="D175" s="20"/>
      <c r="E175" s="20"/>
      <c r="F175" s="15"/>
      <c r="G175" s="15"/>
      <c r="H175" s="15"/>
      <c r="I175" s="15"/>
      <c r="J175" s="20"/>
      <c r="K175" s="8"/>
      <c r="L175" s="8"/>
    </row>
    <row r="176" spans="1:12">
      <c r="A176" s="8"/>
      <c r="B176" s="8"/>
      <c r="C176" s="8"/>
      <c r="D176" s="20"/>
      <c r="E176" s="20"/>
      <c r="F176" s="15"/>
      <c r="G176" s="15"/>
      <c r="H176" s="15"/>
      <c r="I176" s="15"/>
      <c r="J176" s="20"/>
      <c r="K176" s="8"/>
      <c r="L176" s="8"/>
    </row>
    <row r="177" spans="1:12" ht="15.75" thickBot="1">
      <c r="A177" s="8">
        <v>48</v>
      </c>
      <c r="B177" s="8" t="s">
        <v>42</v>
      </c>
      <c r="C177" s="8" t="s">
        <v>12</v>
      </c>
      <c r="D177" s="29">
        <v>8775.0300000000007</v>
      </c>
      <c r="E177" s="29">
        <v>220.3</v>
      </c>
      <c r="F177" s="28">
        <v>225.38</v>
      </c>
      <c r="G177" s="28">
        <v>0</v>
      </c>
      <c r="H177" s="28">
        <v>0</v>
      </c>
      <c r="I177" s="28">
        <v>0</v>
      </c>
      <c r="J177" s="29">
        <f>SUM(D177:I177)</f>
        <v>9220.7099999999991</v>
      </c>
      <c r="K177" s="8"/>
      <c r="L177" s="8"/>
    </row>
    <row r="178" spans="1:12">
      <c r="A178" s="8"/>
      <c r="B178" s="8"/>
      <c r="C178" s="8"/>
      <c r="D178" s="20"/>
      <c r="E178" s="20"/>
      <c r="F178" s="15"/>
      <c r="G178" s="15"/>
      <c r="H178" s="15"/>
      <c r="I178" s="15"/>
      <c r="J178" s="20"/>
      <c r="K178" s="8"/>
      <c r="L178" s="8"/>
    </row>
    <row r="179" spans="1:12" ht="15.75" thickBot="1">
      <c r="A179" s="8"/>
      <c r="B179" s="8"/>
      <c r="C179" s="8"/>
      <c r="D179" s="31">
        <f t="shared" ref="D179:I179" si="27">SUM(D177:D178)</f>
        <v>8775.0300000000007</v>
      </c>
      <c r="E179" s="31">
        <f t="shared" si="27"/>
        <v>220.3</v>
      </c>
      <c r="F179" s="30">
        <f t="shared" si="27"/>
        <v>225.38</v>
      </c>
      <c r="G179" s="30">
        <f t="shared" si="27"/>
        <v>0</v>
      </c>
      <c r="H179" s="30">
        <f t="shared" si="27"/>
        <v>0</v>
      </c>
      <c r="I179" s="30">
        <f t="shared" si="27"/>
        <v>0</v>
      </c>
      <c r="J179" s="31">
        <f>SUM(D179:I179)</f>
        <v>9220.7099999999991</v>
      </c>
      <c r="K179" s="8"/>
      <c r="L179" s="8"/>
    </row>
    <row r="180" spans="1:12" ht="15.75" thickTop="1">
      <c r="A180" s="8"/>
      <c r="B180" s="8"/>
      <c r="C180" s="8"/>
      <c r="D180" s="20"/>
      <c r="E180" s="20"/>
      <c r="F180" s="15"/>
      <c r="G180" s="15"/>
      <c r="H180" s="15"/>
      <c r="I180" s="15"/>
      <c r="J180" s="20"/>
      <c r="K180" s="8"/>
      <c r="L180" s="8"/>
    </row>
    <row r="181" spans="1:12">
      <c r="A181" s="8"/>
      <c r="B181" s="8"/>
      <c r="C181" s="8"/>
      <c r="D181" s="20"/>
      <c r="E181" s="20"/>
      <c r="F181" s="15"/>
      <c r="G181" s="15"/>
      <c r="H181" s="15"/>
      <c r="I181" s="15"/>
      <c r="J181" s="20"/>
      <c r="K181" s="8"/>
      <c r="L181" s="8"/>
    </row>
    <row r="182" spans="1:12" ht="15.75" thickBot="1">
      <c r="A182" s="8">
        <v>49</v>
      </c>
      <c r="B182" s="8" t="s">
        <v>43</v>
      </c>
      <c r="C182" s="8" t="s">
        <v>12</v>
      </c>
      <c r="D182" s="29">
        <v>25597.26</v>
      </c>
      <c r="E182" s="29">
        <v>59.41</v>
      </c>
      <c r="F182" s="28">
        <v>0</v>
      </c>
      <c r="G182" s="28">
        <v>0</v>
      </c>
      <c r="H182" s="28">
        <v>0</v>
      </c>
      <c r="I182" s="28">
        <v>0</v>
      </c>
      <c r="J182" s="29">
        <f>SUM(D182:I182)</f>
        <v>25656.67</v>
      </c>
      <c r="K182" s="8"/>
      <c r="L182" s="8"/>
    </row>
    <row r="183" spans="1:12">
      <c r="A183" s="8"/>
      <c r="B183" s="8"/>
      <c r="C183" s="8"/>
      <c r="D183" s="20"/>
      <c r="E183" s="20"/>
      <c r="F183" s="15"/>
      <c r="G183" s="15"/>
      <c r="H183" s="15"/>
      <c r="I183" s="15"/>
      <c r="J183" s="20"/>
      <c r="K183" s="8"/>
      <c r="L183" s="8"/>
    </row>
    <row r="184" spans="1:12" ht="15.75" thickBot="1">
      <c r="A184" s="8"/>
      <c r="B184" s="8"/>
      <c r="C184" s="8" t="s">
        <v>10</v>
      </c>
      <c r="D184" s="31">
        <f t="shared" ref="D184:I184" si="28">SUM(D182:D183)</f>
        <v>25597.26</v>
      </c>
      <c r="E184" s="31">
        <f t="shared" si="28"/>
        <v>59.41</v>
      </c>
      <c r="F184" s="30">
        <f t="shared" si="28"/>
        <v>0</v>
      </c>
      <c r="G184" s="30">
        <f t="shared" si="28"/>
        <v>0</v>
      </c>
      <c r="H184" s="30">
        <f t="shared" si="28"/>
        <v>0</v>
      </c>
      <c r="I184" s="30">
        <f t="shared" si="28"/>
        <v>0</v>
      </c>
      <c r="J184" s="31">
        <f>SUM(D184:I184)</f>
        <v>25656.67</v>
      </c>
      <c r="K184" s="8"/>
      <c r="L184" s="8"/>
    </row>
    <row r="185" spans="1:12" ht="15.75" thickTop="1">
      <c r="A185" s="8"/>
      <c r="B185" s="8"/>
      <c r="C185" s="8"/>
      <c r="D185" s="20"/>
      <c r="E185" s="20"/>
      <c r="F185" s="15"/>
      <c r="G185" s="15"/>
      <c r="H185" s="15"/>
      <c r="I185" s="15"/>
      <c r="J185" s="20"/>
      <c r="K185" s="8"/>
      <c r="L185" s="8"/>
    </row>
    <row r="186" spans="1:12">
      <c r="A186" s="8"/>
      <c r="B186" s="8"/>
      <c r="C186" s="8"/>
      <c r="D186" s="20"/>
      <c r="E186" s="20"/>
      <c r="F186" s="15"/>
      <c r="G186" s="15"/>
      <c r="H186" s="15"/>
      <c r="I186" s="15"/>
      <c r="J186" s="20"/>
      <c r="K186" s="8"/>
      <c r="L186" s="8"/>
    </row>
    <row r="187" spans="1:12">
      <c r="A187" s="8">
        <v>50</v>
      </c>
      <c r="B187" s="8" t="s">
        <v>44</v>
      </c>
      <c r="C187" s="8" t="s">
        <v>12</v>
      </c>
      <c r="D187" s="20">
        <v>4902.54</v>
      </c>
      <c r="E187" s="20">
        <v>60.87</v>
      </c>
      <c r="F187" s="15">
        <v>56.45</v>
      </c>
      <c r="G187" s="15">
        <v>0</v>
      </c>
      <c r="H187" s="15">
        <v>0</v>
      </c>
      <c r="I187" s="15">
        <v>0</v>
      </c>
      <c r="J187" s="20">
        <f>SUM(D187:I187)</f>
        <v>5019.8599999999997</v>
      </c>
      <c r="K187" s="8"/>
      <c r="L187" s="8"/>
    </row>
    <row r="188" spans="1:12" ht="15.75" thickBot="1">
      <c r="A188" s="8"/>
      <c r="B188" s="8"/>
      <c r="C188" s="8" t="s">
        <v>13</v>
      </c>
      <c r="D188" s="29">
        <v>80.31</v>
      </c>
      <c r="E188" s="29">
        <v>1.2</v>
      </c>
      <c r="F188" s="28">
        <v>1.1399999999999999</v>
      </c>
      <c r="G188" s="28">
        <v>0</v>
      </c>
      <c r="H188" s="28">
        <v>0</v>
      </c>
      <c r="I188" s="28">
        <v>0</v>
      </c>
      <c r="J188" s="29">
        <f>SUM(D188:I188)</f>
        <v>82.65</v>
      </c>
      <c r="K188" s="8"/>
      <c r="L188" s="8"/>
    </row>
    <row r="189" spans="1:12">
      <c r="A189" s="8"/>
      <c r="B189" s="8"/>
      <c r="C189" s="8"/>
      <c r="D189" s="20"/>
      <c r="E189" s="20"/>
      <c r="F189" s="15"/>
      <c r="G189" s="15"/>
      <c r="H189" s="15"/>
      <c r="I189" s="15"/>
      <c r="J189" s="20"/>
      <c r="K189" s="8"/>
      <c r="L189" s="8"/>
    </row>
    <row r="190" spans="1:12" ht="15.75" thickBot="1">
      <c r="A190" s="8"/>
      <c r="B190" s="8"/>
      <c r="C190" s="8" t="s">
        <v>10</v>
      </c>
      <c r="D190" s="31">
        <f t="shared" ref="D190:I190" si="29">SUM(D187:D188)</f>
        <v>4982.8500000000004</v>
      </c>
      <c r="E190" s="31">
        <f t="shared" si="29"/>
        <v>62.07</v>
      </c>
      <c r="F190" s="30">
        <f t="shared" si="29"/>
        <v>57.59</v>
      </c>
      <c r="G190" s="30">
        <f t="shared" si="29"/>
        <v>0</v>
      </c>
      <c r="H190" s="30">
        <f t="shared" si="29"/>
        <v>0</v>
      </c>
      <c r="I190" s="30">
        <f t="shared" si="29"/>
        <v>0</v>
      </c>
      <c r="J190" s="31">
        <f>SUM(D190:I190)</f>
        <v>5102.51</v>
      </c>
      <c r="K190" s="8"/>
      <c r="L190" s="8"/>
    </row>
    <row r="191" spans="1:12" ht="15.75" thickTop="1">
      <c r="A191" s="8"/>
      <c r="B191" s="8"/>
      <c r="C191" s="8"/>
      <c r="D191" s="20"/>
      <c r="E191" s="20"/>
      <c r="F191" s="15"/>
      <c r="G191" s="15"/>
      <c r="H191" s="15"/>
      <c r="I191" s="15"/>
      <c r="J191" s="20"/>
      <c r="K191" s="8"/>
      <c r="L191" s="8"/>
    </row>
    <row r="192" spans="1:12">
      <c r="A192" s="8"/>
      <c r="B192" s="8"/>
      <c r="C192" s="8"/>
      <c r="D192" s="20"/>
      <c r="E192" s="20"/>
      <c r="F192" s="15"/>
      <c r="G192" s="15"/>
      <c r="H192" s="15"/>
      <c r="I192" s="15"/>
      <c r="J192" s="20"/>
      <c r="K192" s="8"/>
      <c r="L192" s="8"/>
    </row>
    <row r="193" spans="1:12">
      <c r="A193" s="8">
        <v>51</v>
      </c>
      <c r="B193" s="8" t="s">
        <v>45</v>
      </c>
      <c r="C193" s="8" t="s">
        <v>12</v>
      </c>
      <c r="D193" s="20">
        <v>8904.4599999999991</v>
      </c>
      <c r="E193" s="20">
        <v>11.72</v>
      </c>
      <c r="F193" s="15">
        <v>0</v>
      </c>
      <c r="G193" s="15">
        <v>0</v>
      </c>
      <c r="H193" s="15">
        <v>0</v>
      </c>
      <c r="I193" s="15">
        <v>0</v>
      </c>
      <c r="J193" s="20">
        <f>SUM(D193:I193)</f>
        <v>8916.1799999999985</v>
      </c>
      <c r="K193" s="8"/>
      <c r="L193" s="8"/>
    </row>
    <row r="194" spans="1:12" hidden="1">
      <c r="A194" s="8"/>
      <c r="B194" s="8"/>
      <c r="C194" s="8" t="s">
        <v>13</v>
      </c>
      <c r="D194" s="20"/>
      <c r="E194" s="20"/>
      <c r="F194" s="15"/>
      <c r="G194" s="15"/>
      <c r="H194" s="15"/>
      <c r="I194" s="15"/>
      <c r="J194" s="20">
        <f>SUM(D194:I194)</f>
        <v>0</v>
      </c>
      <c r="K194" s="8"/>
      <c r="L194" s="8"/>
    </row>
    <row r="195" spans="1:12" ht="15.75" thickBot="1">
      <c r="A195" s="8"/>
      <c r="B195" s="8"/>
      <c r="C195" s="8" t="s">
        <v>46</v>
      </c>
      <c r="D195" s="29">
        <v>177.51</v>
      </c>
      <c r="E195" s="29">
        <v>0.28999999999999998</v>
      </c>
      <c r="F195" s="28">
        <v>0</v>
      </c>
      <c r="G195" s="28">
        <v>0</v>
      </c>
      <c r="H195" s="28">
        <v>0</v>
      </c>
      <c r="I195" s="28">
        <v>0</v>
      </c>
      <c r="J195" s="29">
        <f>SUM(D195:I195)</f>
        <v>177.79999999999998</v>
      </c>
      <c r="K195" s="8"/>
      <c r="L195" s="8"/>
    </row>
    <row r="196" spans="1:12">
      <c r="A196" s="8"/>
      <c r="B196" s="8"/>
      <c r="C196" s="8"/>
      <c r="D196" s="20"/>
      <c r="E196" s="20"/>
      <c r="F196" s="15"/>
      <c r="G196" s="15"/>
      <c r="H196" s="15"/>
      <c r="I196" s="15"/>
      <c r="J196" s="20"/>
      <c r="K196" s="8"/>
      <c r="L196" s="8"/>
    </row>
    <row r="197" spans="1:12" ht="15.75" thickBot="1">
      <c r="A197" s="8"/>
      <c r="B197" s="8"/>
      <c r="C197" s="8" t="s">
        <v>10</v>
      </c>
      <c r="D197" s="31">
        <f t="shared" ref="D197:I197" si="30">SUM(D193:D195)</f>
        <v>9081.9699999999993</v>
      </c>
      <c r="E197" s="31">
        <f t="shared" si="30"/>
        <v>12.01</v>
      </c>
      <c r="F197" s="30">
        <f t="shared" si="30"/>
        <v>0</v>
      </c>
      <c r="G197" s="30">
        <f t="shared" si="30"/>
        <v>0</v>
      </c>
      <c r="H197" s="30">
        <f t="shared" si="30"/>
        <v>0</v>
      </c>
      <c r="I197" s="30">
        <f t="shared" si="30"/>
        <v>0</v>
      </c>
      <c r="J197" s="31">
        <f>SUM(D197:I197)</f>
        <v>9093.98</v>
      </c>
      <c r="K197" s="8"/>
      <c r="L197" s="8"/>
    </row>
    <row r="198" spans="1:12" ht="15.75" thickTop="1">
      <c r="A198" s="8"/>
      <c r="B198" s="8"/>
      <c r="C198" s="8"/>
      <c r="D198" s="20"/>
      <c r="E198" s="20"/>
      <c r="F198" s="15"/>
      <c r="G198" s="15"/>
      <c r="H198" s="15"/>
      <c r="I198" s="15"/>
      <c r="J198" s="20"/>
      <c r="K198" s="8"/>
      <c r="L198" s="8"/>
    </row>
    <row r="199" spans="1:12">
      <c r="A199" s="8"/>
      <c r="B199" s="8"/>
      <c r="C199" s="8"/>
      <c r="D199" s="20"/>
      <c r="E199" s="20"/>
      <c r="F199" s="15"/>
      <c r="G199" s="15"/>
      <c r="H199" s="15"/>
      <c r="I199" s="15"/>
      <c r="J199" s="20"/>
      <c r="K199" s="8"/>
      <c r="L199" s="8"/>
    </row>
    <row r="200" spans="1:12">
      <c r="A200" s="8">
        <v>52</v>
      </c>
      <c r="B200" s="8" t="s">
        <v>47</v>
      </c>
      <c r="C200" s="8" t="s">
        <v>12</v>
      </c>
      <c r="D200" s="25">
        <v>9001.43</v>
      </c>
      <c r="E200" s="45">
        <v>132.69999999999999</v>
      </c>
      <c r="F200" s="24">
        <v>0</v>
      </c>
      <c r="G200" s="24">
        <v>0</v>
      </c>
      <c r="H200" s="24">
        <v>0</v>
      </c>
      <c r="I200" s="24">
        <v>0</v>
      </c>
      <c r="J200" s="25">
        <f>SUM(D200:I200)</f>
        <v>9134.130000000001</v>
      </c>
      <c r="K200" s="8"/>
      <c r="L200" s="8"/>
    </row>
    <row r="201" spans="1:12" ht="15.75" hidden="1" thickBot="1">
      <c r="A201" s="8"/>
      <c r="B201" s="8"/>
      <c r="C201" s="8" t="s">
        <v>13</v>
      </c>
      <c r="D201" s="29"/>
      <c r="E201" s="34"/>
      <c r="F201" s="28"/>
      <c r="G201" s="28"/>
      <c r="H201" s="28"/>
      <c r="I201" s="28"/>
      <c r="J201" s="34">
        <v>0</v>
      </c>
      <c r="K201" s="8"/>
      <c r="L201" s="8"/>
    </row>
    <row r="202" spans="1:12">
      <c r="A202" s="8"/>
      <c r="B202" s="8"/>
      <c r="C202" s="8"/>
      <c r="D202" s="20"/>
      <c r="E202" s="35"/>
      <c r="F202" s="15"/>
      <c r="G202" s="15"/>
      <c r="H202" s="15"/>
      <c r="I202" s="15"/>
      <c r="J202" s="20"/>
      <c r="K202" s="8"/>
      <c r="L202" s="8"/>
    </row>
    <row r="203" spans="1:12" ht="15.75" thickBot="1">
      <c r="A203" s="8"/>
      <c r="B203" s="8"/>
      <c r="C203" s="8" t="s">
        <v>10</v>
      </c>
      <c r="D203" s="31">
        <f t="shared" ref="D203:I203" si="31">SUM(D200:D201)</f>
        <v>9001.43</v>
      </c>
      <c r="E203" s="44">
        <f t="shared" si="31"/>
        <v>132.69999999999999</v>
      </c>
      <c r="F203" s="30">
        <f t="shared" si="31"/>
        <v>0</v>
      </c>
      <c r="G203" s="30">
        <f t="shared" si="31"/>
        <v>0</v>
      </c>
      <c r="H203" s="30">
        <f t="shared" si="31"/>
        <v>0</v>
      </c>
      <c r="I203" s="30">
        <f t="shared" si="31"/>
        <v>0</v>
      </c>
      <c r="J203" s="31">
        <f>SUM(D203:I203)</f>
        <v>9134.130000000001</v>
      </c>
      <c r="K203" s="8"/>
      <c r="L203" s="8"/>
    </row>
    <row r="204" spans="1:12" ht="15.75" thickTop="1">
      <c r="A204" s="8"/>
      <c r="B204" s="8"/>
      <c r="C204" s="8"/>
      <c r="D204" s="20"/>
      <c r="E204" s="20"/>
      <c r="F204" s="15"/>
      <c r="G204" s="15"/>
      <c r="H204" s="15"/>
      <c r="I204" s="15"/>
      <c r="J204" s="20"/>
      <c r="K204" s="8"/>
      <c r="L204" s="8"/>
    </row>
    <row r="205" spans="1:12">
      <c r="A205" s="8"/>
      <c r="B205" s="8"/>
      <c r="C205" s="8"/>
      <c r="D205" s="20"/>
      <c r="E205" s="20"/>
      <c r="F205" s="15"/>
      <c r="G205" s="15"/>
      <c r="H205" s="15"/>
      <c r="I205" s="15"/>
      <c r="J205" s="20"/>
      <c r="K205" s="8"/>
      <c r="L205" s="8"/>
    </row>
    <row r="206" spans="1:12">
      <c r="A206" s="8">
        <v>53</v>
      </c>
      <c r="B206" s="8" t="s">
        <v>48</v>
      </c>
      <c r="C206" s="8" t="s">
        <v>12</v>
      </c>
      <c r="D206" s="20">
        <v>16397.32</v>
      </c>
      <c r="E206" s="20">
        <v>70.760000000000005</v>
      </c>
      <c r="F206" s="15">
        <v>0</v>
      </c>
      <c r="G206" s="15">
        <v>0</v>
      </c>
      <c r="H206" s="15">
        <v>0</v>
      </c>
      <c r="I206" s="15">
        <v>0</v>
      </c>
      <c r="J206" s="20">
        <f>SUM(D206:I206)</f>
        <v>16468.079999999998</v>
      </c>
      <c r="K206" s="8"/>
      <c r="L206" s="8"/>
    </row>
    <row r="207" spans="1:12">
      <c r="A207" s="8"/>
      <c r="B207" s="8"/>
      <c r="C207" s="8" t="s">
        <v>35</v>
      </c>
      <c r="D207" s="20">
        <v>911.02</v>
      </c>
      <c r="E207" s="20">
        <v>3.92</v>
      </c>
      <c r="F207" s="15">
        <v>0</v>
      </c>
      <c r="G207" s="15">
        <v>0</v>
      </c>
      <c r="H207" s="15">
        <v>0</v>
      </c>
      <c r="I207" s="15">
        <v>0</v>
      </c>
      <c r="J207" s="20">
        <f>SUM(D207:I207)</f>
        <v>914.93999999999994</v>
      </c>
      <c r="K207" s="8"/>
      <c r="L207" s="8"/>
    </row>
    <row r="208" spans="1:12">
      <c r="A208" s="8"/>
      <c r="B208" s="8"/>
      <c r="C208" s="8" t="s">
        <v>97</v>
      </c>
      <c r="D208" s="20">
        <v>455.48</v>
      </c>
      <c r="E208" s="20">
        <v>1.82</v>
      </c>
      <c r="F208" s="15">
        <v>0</v>
      </c>
      <c r="G208" s="15">
        <v>0</v>
      </c>
      <c r="H208" s="15">
        <v>0</v>
      </c>
      <c r="I208" s="15">
        <v>0</v>
      </c>
      <c r="J208" s="20">
        <f>SUM(D208:I208)</f>
        <v>457.3</v>
      </c>
      <c r="K208" s="8"/>
      <c r="L208" s="8"/>
    </row>
    <row r="209" spans="1:12" ht="15.75" thickBot="1">
      <c r="A209" s="8"/>
      <c r="B209" s="8"/>
      <c r="C209" s="8" t="s">
        <v>98</v>
      </c>
      <c r="D209" s="29">
        <v>2733.16</v>
      </c>
      <c r="E209" s="29">
        <v>11.87</v>
      </c>
      <c r="F209" s="28">
        <v>0</v>
      </c>
      <c r="G209" s="28">
        <v>0</v>
      </c>
      <c r="H209" s="28">
        <v>0</v>
      </c>
      <c r="I209" s="28">
        <v>0</v>
      </c>
      <c r="J209" s="29">
        <f>SUM(D209:I209)</f>
        <v>2745.0299999999997</v>
      </c>
      <c r="K209" s="8"/>
      <c r="L209" s="8"/>
    </row>
    <row r="210" spans="1:12">
      <c r="A210" s="8"/>
      <c r="B210" s="8"/>
      <c r="C210" s="8"/>
      <c r="D210" s="20"/>
      <c r="E210" s="20"/>
      <c r="F210" s="15"/>
      <c r="G210" s="15"/>
      <c r="H210" s="15"/>
      <c r="I210" s="15"/>
      <c r="J210" s="20"/>
      <c r="K210" s="8"/>
      <c r="L210" s="8"/>
    </row>
    <row r="211" spans="1:12" ht="15.75" thickBot="1">
      <c r="A211" s="8"/>
      <c r="B211" s="8"/>
      <c r="C211" s="8" t="s">
        <v>10</v>
      </c>
      <c r="D211" s="31">
        <f>SUM(D206:D210)</f>
        <v>20496.98</v>
      </c>
      <c r="E211" s="31">
        <f t="shared" ref="E211:J211" si="32">SUM(E206:E210)</f>
        <v>88.37</v>
      </c>
      <c r="F211" s="30">
        <f t="shared" si="32"/>
        <v>0</v>
      </c>
      <c r="G211" s="30">
        <f t="shared" si="32"/>
        <v>0</v>
      </c>
      <c r="H211" s="30">
        <f t="shared" si="32"/>
        <v>0</v>
      </c>
      <c r="I211" s="30">
        <f t="shared" si="32"/>
        <v>0</v>
      </c>
      <c r="J211" s="30">
        <f t="shared" si="32"/>
        <v>20585.349999999995</v>
      </c>
      <c r="K211" s="8"/>
      <c r="L211" s="8"/>
    </row>
    <row r="212" spans="1:12" ht="15.75" thickTop="1">
      <c r="A212" s="8"/>
      <c r="B212" s="8"/>
      <c r="C212" s="8"/>
      <c r="D212" s="20"/>
      <c r="E212" s="20"/>
      <c r="F212" s="15"/>
      <c r="G212" s="15"/>
      <c r="H212" s="15"/>
      <c r="I212" s="15"/>
      <c r="J212" s="20"/>
      <c r="K212" s="8"/>
      <c r="L212" s="8"/>
    </row>
    <row r="213" spans="1:12">
      <c r="A213" s="8"/>
      <c r="B213" s="8"/>
      <c r="C213" s="8"/>
      <c r="D213" s="20"/>
      <c r="E213" s="20"/>
      <c r="F213" s="15"/>
      <c r="G213" s="15"/>
      <c r="H213" s="15"/>
      <c r="I213" s="15"/>
      <c r="J213" s="20"/>
      <c r="K213" s="8"/>
      <c r="L213" s="8"/>
    </row>
    <row r="214" spans="1:12">
      <c r="A214" s="8">
        <v>54</v>
      </c>
      <c r="B214" s="8" t="s">
        <v>49</v>
      </c>
      <c r="C214" s="8" t="s">
        <v>12</v>
      </c>
      <c r="D214" s="25">
        <v>7064.1</v>
      </c>
      <c r="E214" s="45">
        <v>0</v>
      </c>
      <c r="F214" s="24">
        <v>0</v>
      </c>
      <c r="G214" s="24">
        <v>0</v>
      </c>
      <c r="H214" s="24">
        <v>0</v>
      </c>
      <c r="I214" s="24">
        <v>0</v>
      </c>
      <c r="J214" s="25">
        <f>SUM(D214:I214)</f>
        <v>7064.1</v>
      </c>
      <c r="K214" s="8"/>
      <c r="L214" s="8"/>
    </row>
    <row r="215" spans="1:12" ht="15.75" hidden="1" thickBot="1">
      <c r="A215" s="8"/>
      <c r="B215" s="8"/>
      <c r="C215" s="8" t="s">
        <v>104</v>
      </c>
      <c r="D215" s="29"/>
      <c r="E215" s="34"/>
      <c r="F215" s="28"/>
      <c r="G215" s="28"/>
      <c r="H215" s="28"/>
      <c r="I215" s="28"/>
      <c r="J215" s="29">
        <f>SUM(D215:I215)</f>
        <v>0</v>
      </c>
      <c r="K215" s="8"/>
      <c r="L215" s="8"/>
    </row>
    <row r="216" spans="1:12">
      <c r="A216" s="8"/>
      <c r="B216" s="8"/>
      <c r="C216" s="8"/>
      <c r="D216" s="20"/>
      <c r="E216" s="35"/>
      <c r="F216" s="15"/>
      <c r="G216" s="15"/>
      <c r="H216" s="15"/>
      <c r="I216" s="15"/>
      <c r="J216" s="20"/>
      <c r="K216" s="8"/>
      <c r="L216" s="8"/>
    </row>
    <row r="217" spans="1:12" ht="15.75" thickBot="1">
      <c r="A217" s="8"/>
      <c r="B217" s="8"/>
      <c r="C217" s="8" t="s">
        <v>10</v>
      </c>
      <c r="D217" s="31">
        <f t="shared" ref="D217:I217" si="33">SUM(D214:D216)</f>
        <v>7064.1</v>
      </c>
      <c r="E217" s="44">
        <f t="shared" si="33"/>
        <v>0</v>
      </c>
      <c r="F217" s="30">
        <f t="shared" si="33"/>
        <v>0</v>
      </c>
      <c r="G217" s="30">
        <f t="shared" si="33"/>
        <v>0</v>
      </c>
      <c r="H217" s="30">
        <f t="shared" si="33"/>
        <v>0</v>
      </c>
      <c r="I217" s="30">
        <f t="shared" si="33"/>
        <v>0</v>
      </c>
      <c r="J217" s="31">
        <f>SUM(D217:I217)</f>
        <v>7064.1</v>
      </c>
      <c r="K217" s="8"/>
      <c r="L217" s="8"/>
    </row>
    <row r="218" spans="1:12" ht="15.75" thickTop="1">
      <c r="A218" s="8"/>
      <c r="B218" s="8"/>
      <c r="C218" s="8"/>
      <c r="D218" s="20"/>
      <c r="E218" s="20"/>
      <c r="F218" s="15"/>
      <c r="G218" s="15"/>
      <c r="H218" s="15"/>
      <c r="I218" s="15"/>
      <c r="J218" s="20"/>
      <c r="K218" s="8"/>
      <c r="L218" s="8"/>
    </row>
    <row r="219" spans="1:12">
      <c r="A219" s="8"/>
      <c r="B219" s="8"/>
      <c r="C219" s="8"/>
      <c r="D219" s="20"/>
      <c r="E219" s="20"/>
      <c r="F219" s="15"/>
      <c r="G219" s="15"/>
      <c r="H219" s="15"/>
      <c r="I219" s="15"/>
      <c r="J219" s="20"/>
      <c r="K219" s="8"/>
      <c r="L219" s="8"/>
    </row>
    <row r="220" spans="1:12">
      <c r="A220" s="8">
        <v>55</v>
      </c>
      <c r="B220" s="8" t="s">
        <v>50</v>
      </c>
      <c r="C220" s="8" t="s">
        <v>12</v>
      </c>
      <c r="D220" s="20">
        <v>19851.689999999999</v>
      </c>
      <c r="E220" s="20">
        <v>251.21</v>
      </c>
      <c r="F220" s="15">
        <v>13.46</v>
      </c>
      <c r="G220" s="15">
        <v>0</v>
      </c>
      <c r="H220" s="15">
        <v>0</v>
      </c>
      <c r="I220" s="15">
        <v>0</v>
      </c>
      <c r="J220" s="20">
        <f>SUM(D220:I220)</f>
        <v>20116.359999999997</v>
      </c>
      <c r="K220" s="8"/>
      <c r="L220" s="8"/>
    </row>
    <row r="221" spans="1:12" ht="15.75" thickBot="1">
      <c r="A221" s="8"/>
      <c r="B221" s="8"/>
      <c r="C221" s="8" t="s">
        <v>13</v>
      </c>
      <c r="D221" s="29">
        <v>407.94</v>
      </c>
      <c r="E221" s="29">
        <v>6.61</v>
      </c>
      <c r="F221" s="28">
        <v>0.11</v>
      </c>
      <c r="G221" s="28">
        <v>0</v>
      </c>
      <c r="H221" s="28">
        <v>0</v>
      </c>
      <c r="I221" s="28">
        <v>0</v>
      </c>
      <c r="J221" s="29">
        <f>SUM(D221:I221)</f>
        <v>414.66</v>
      </c>
      <c r="K221" s="8"/>
      <c r="L221" s="8"/>
    </row>
    <row r="222" spans="1:12">
      <c r="A222" s="8"/>
      <c r="B222" s="8"/>
      <c r="C222" s="8"/>
      <c r="D222" s="20"/>
      <c r="E222" s="20"/>
      <c r="F222" s="15"/>
      <c r="G222" s="15"/>
      <c r="H222" s="15"/>
      <c r="I222" s="15"/>
      <c r="J222" s="20"/>
      <c r="K222" s="8"/>
      <c r="L222" s="8"/>
    </row>
    <row r="223" spans="1:12" ht="15.75" thickBot="1">
      <c r="A223" s="8"/>
      <c r="B223" s="8"/>
      <c r="C223" s="8" t="s">
        <v>10</v>
      </c>
      <c r="D223" s="31">
        <f t="shared" ref="D223:I223" si="34">SUM(D220:D221)</f>
        <v>20259.629999999997</v>
      </c>
      <c r="E223" s="31">
        <f t="shared" si="34"/>
        <v>257.82</v>
      </c>
      <c r="F223" s="30">
        <f t="shared" si="34"/>
        <v>13.57</v>
      </c>
      <c r="G223" s="30">
        <f t="shared" si="34"/>
        <v>0</v>
      </c>
      <c r="H223" s="30">
        <f t="shared" si="34"/>
        <v>0</v>
      </c>
      <c r="I223" s="30">
        <f t="shared" si="34"/>
        <v>0</v>
      </c>
      <c r="J223" s="31">
        <f>SUM(D223:I223)</f>
        <v>20531.019999999997</v>
      </c>
      <c r="K223" s="8"/>
      <c r="L223" s="8"/>
    </row>
    <row r="224" spans="1:12" ht="15.75" thickTop="1">
      <c r="A224" s="8"/>
      <c r="B224" s="8"/>
      <c r="C224" s="8"/>
      <c r="D224" s="20"/>
      <c r="E224" s="20"/>
      <c r="F224" s="15"/>
      <c r="G224" s="15"/>
      <c r="H224" s="15"/>
      <c r="I224" s="15"/>
      <c r="J224" s="20"/>
      <c r="K224" s="8"/>
      <c r="L224" s="8"/>
    </row>
    <row r="225" spans="1:12">
      <c r="A225" s="8"/>
      <c r="B225" s="8"/>
      <c r="C225" s="8"/>
      <c r="D225" s="20"/>
      <c r="E225" s="20"/>
      <c r="F225" s="15"/>
      <c r="G225" s="15"/>
      <c r="H225" s="15"/>
      <c r="I225" s="15"/>
      <c r="J225" s="20"/>
      <c r="K225" s="8"/>
      <c r="L225" s="8"/>
    </row>
    <row r="226" spans="1:12">
      <c r="A226" s="8">
        <v>56</v>
      </c>
      <c r="B226" s="8" t="s">
        <v>51</v>
      </c>
      <c r="C226" s="8" t="s">
        <v>12</v>
      </c>
      <c r="D226" s="20">
        <v>9861.44</v>
      </c>
      <c r="E226" s="35">
        <v>0</v>
      </c>
      <c r="F226" s="15">
        <v>0</v>
      </c>
      <c r="G226" s="15">
        <v>0</v>
      </c>
      <c r="H226" s="15">
        <v>0</v>
      </c>
      <c r="I226" s="15">
        <v>0</v>
      </c>
      <c r="J226" s="20">
        <f>SUM(D226:I226)</f>
        <v>9861.44</v>
      </c>
      <c r="K226" s="8"/>
      <c r="L226" s="8"/>
    </row>
    <row r="227" spans="1:12" ht="15.75" thickBot="1">
      <c r="A227" s="8"/>
      <c r="B227" s="8"/>
      <c r="C227" s="8" t="s">
        <v>13</v>
      </c>
      <c r="D227" s="29">
        <v>146.05000000000001</v>
      </c>
      <c r="E227" s="34">
        <v>0</v>
      </c>
      <c r="F227" s="28">
        <v>0</v>
      </c>
      <c r="G227" s="28">
        <v>0</v>
      </c>
      <c r="H227" s="28">
        <v>0</v>
      </c>
      <c r="I227" s="28">
        <v>0</v>
      </c>
      <c r="J227" s="29">
        <f>SUM(D227:I227)</f>
        <v>146.05000000000001</v>
      </c>
      <c r="K227" s="8"/>
      <c r="L227" s="8"/>
    </row>
    <row r="228" spans="1:12">
      <c r="A228" s="8"/>
      <c r="B228" s="8"/>
      <c r="C228" s="8"/>
      <c r="D228" s="20"/>
      <c r="E228" s="35"/>
      <c r="F228" s="15"/>
      <c r="G228" s="15"/>
      <c r="H228" s="15"/>
      <c r="I228" s="15"/>
      <c r="J228" s="20"/>
      <c r="K228" s="8"/>
      <c r="L228" s="8"/>
    </row>
    <row r="229" spans="1:12" ht="15.75" thickBot="1">
      <c r="A229" s="8"/>
      <c r="B229" s="8"/>
      <c r="C229" s="8" t="s">
        <v>10</v>
      </c>
      <c r="D229" s="31">
        <f t="shared" ref="D229:I229" si="35">SUM(D226:D227)</f>
        <v>10007.49</v>
      </c>
      <c r="E229" s="44">
        <f t="shared" si="35"/>
        <v>0</v>
      </c>
      <c r="F229" s="30">
        <f t="shared" si="35"/>
        <v>0</v>
      </c>
      <c r="G229" s="30">
        <f t="shared" si="35"/>
        <v>0</v>
      </c>
      <c r="H229" s="30">
        <f t="shared" si="35"/>
        <v>0</v>
      </c>
      <c r="I229" s="30">
        <f t="shared" si="35"/>
        <v>0</v>
      </c>
      <c r="J229" s="31">
        <f>SUM(D229:I229)</f>
        <v>10007.49</v>
      </c>
      <c r="K229" s="8"/>
      <c r="L229" s="8"/>
    </row>
    <row r="230" spans="1:12" ht="15.75" thickTop="1">
      <c r="A230" s="8"/>
      <c r="B230" s="8"/>
      <c r="C230" s="8"/>
      <c r="D230" s="20"/>
      <c r="E230" s="20"/>
      <c r="F230" s="15"/>
      <c r="G230" s="15"/>
      <c r="H230" s="15"/>
      <c r="I230" s="15"/>
      <c r="J230" s="20"/>
      <c r="K230" s="8"/>
      <c r="L230" s="8"/>
    </row>
    <row r="231" spans="1:12">
      <c r="A231" s="8"/>
      <c r="B231" s="8"/>
      <c r="C231" s="8"/>
      <c r="D231" s="20"/>
      <c r="E231" s="20"/>
      <c r="F231" s="15"/>
      <c r="G231" s="15"/>
      <c r="H231" s="15"/>
      <c r="I231" s="15"/>
      <c r="J231" s="20"/>
      <c r="K231" s="8"/>
      <c r="L231" s="8"/>
    </row>
    <row r="232" spans="1:12">
      <c r="A232" s="8">
        <v>57</v>
      </c>
      <c r="B232" s="8" t="s">
        <v>52</v>
      </c>
      <c r="C232" s="8" t="s">
        <v>12</v>
      </c>
      <c r="D232" s="20">
        <v>24372.85</v>
      </c>
      <c r="E232" s="20">
        <v>1156.25</v>
      </c>
      <c r="F232" s="15">
        <v>569.08000000000004</v>
      </c>
      <c r="G232" s="15">
        <v>6.59</v>
      </c>
      <c r="H232" s="15">
        <v>6.25</v>
      </c>
      <c r="I232" s="15">
        <v>5.17</v>
      </c>
      <c r="J232" s="20">
        <f>SUM(D232:I232)</f>
        <v>26116.19</v>
      </c>
      <c r="K232" s="8"/>
      <c r="L232" s="8"/>
    </row>
    <row r="233" spans="1:12">
      <c r="A233" s="8"/>
      <c r="B233" s="8"/>
      <c r="C233" s="38" t="s">
        <v>13</v>
      </c>
      <c r="D233" s="20">
        <v>501.27</v>
      </c>
      <c r="E233" s="20">
        <v>27.98</v>
      </c>
      <c r="F233" s="15">
        <v>15.52</v>
      </c>
      <c r="G233" s="15">
        <v>0.25</v>
      </c>
      <c r="H233" s="15">
        <v>0.05</v>
      </c>
      <c r="I233" s="15">
        <v>0.33</v>
      </c>
      <c r="J233" s="20">
        <f t="shared" ref="J233:J234" si="36">SUM(D233:I233)</f>
        <v>545.4</v>
      </c>
      <c r="K233" s="8"/>
      <c r="L233" s="8"/>
    </row>
    <row r="234" spans="1:12">
      <c r="A234" s="8"/>
      <c r="B234" s="8"/>
      <c r="C234" s="38" t="s">
        <v>112</v>
      </c>
      <c r="D234" s="20">
        <v>1137.3399999999999</v>
      </c>
      <c r="E234" s="35">
        <v>0</v>
      </c>
      <c r="F234" s="15">
        <v>0</v>
      </c>
      <c r="G234" s="15">
        <v>0</v>
      </c>
      <c r="H234" s="15">
        <v>0</v>
      </c>
      <c r="I234" s="15">
        <v>0</v>
      </c>
      <c r="J234" s="20">
        <f t="shared" si="36"/>
        <v>1137.3399999999999</v>
      </c>
      <c r="K234" s="8"/>
      <c r="L234" s="8"/>
    </row>
    <row r="235" spans="1:12" ht="15.75" thickBot="1">
      <c r="A235" s="8"/>
      <c r="B235" s="8"/>
      <c r="C235" s="38" t="s">
        <v>109</v>
      </c>
      <c r="D235" s="29">
        <v>4062.13</v>
      </c>
      <c r="E235" s="34">
        <v>0</v>
      </c>
      <c r="F235" s="28">
        <v>0</v>
      </c>
      <c r="G235" s="28">
        <v>0</v>
      </c>
      <c r="H235" s="28">
        <v>0</v>
      </c>
      <c r="I235" s="28">
        <v>0</v>
      </c>
      <c r="J235" s="29">
        <f>SUM(D235:I235)</f>
        <v>4062.13</v>
      </c>
      <c r="K235" s="8"/>
      <c r="L235" s="8"/>
    </row>
    <row r="236" spans="1:12">
      <c r="A236" s="8"/>
      <c r="B236" s="8"/>
      <c r="C236" s="8"/>
      <c r="D236" s="20"/>
      <c r="E236" s="20"/>
      <c r="F236" s="15"/>
      <c r="G236" s="15"/>
      <c r="H236" s="15"/>
      <c r="I236" s="15"/>
      <c r="J236" s="20"/>
      <c r="K236" s="8"/>
      <c r="L236" s="8"/>
    </row>
    <row r="237" spans="1:12" ht="15.75" thickBot="1">
      <c r="A237" s="8"/>
      <c r="B237" s="8"/>
      <c r="C237" s="8" t="s">
        <v>10</v>
      </c>
      <c r="D237" s="31">
        <f t="shared" ref="D237:I237" si="37">SUM(D232:D235)</f>
        <v>30073.59</v>
      </c>
      <c r="E237" s="31">
        <f t="shared" si="37"/>
        <v>1184.23</v>
      </c>
      <c r="F237" s="30">
        <f t="shared" si="37"/>
        <v>584.6</v>
      </c>
      <c r="G237" s="30">
        <f t="shared" si="37"/>
        <v>6.84</v>
      </c>
      <c r="H237" s="30">
        <f t="shared" si="37"/>
        <v>6.3</v>
      </c>
      <c r="I237" s="30">
        <f t="shared" si="37"/>
        <v>5.5</v>
      </c>
      <c r="J237" s="31">
        <f>SUM(D237:I237)</f>
        <v>31861.059999999998</v>
      </c>
      <c r="K237" s="8"/>
      <c r="L237" s="8"/>
    </row>
    <row r="238" spans="1:12" ht="15.75" thickTop="1">
      <c r="A238" s="8"/>
      <c r="B238" s="8"/>
      <c r="C238" s="8"/>
      <c r="D238" s="20"/>
      <c r="E238" s="20"/>
      <c r="F238" s="15"/>
      <c r="G238" s="15"/>
      <c r="H238" s="15"/>
      <c r="I238" s="15"/>
      <c r="J238" s="20"/>
      <c r="K238" s="8"/>
      <c r="L238" s="8"/>
    </row>
    <row r="239" spans="1:12">
      <c r="A239" s="8"/>
      <c r="B239" s="8"/>
      <c r="C239" s="8"/>
      <c r="D239" s="20"/>
      <c r="E239" s="20"/>
      <c r="F239" s="15"/>
      <c r="G239" s="15"/>
      <c r="H239" s="15"/>
      <c r="I239" s="15"/>
      <c r="J239" s="20"/>
      <c r="K239" s="8"/>
      <c r="L239" s="8"/>
    </row>
    <row r="240" spans="1:12">
      <c r="A240" s="8">
        <v>58</v>
      </c>
      <c r="B240" s="8" t="s">
        <v>53</v>
      </c>
      <c r="C240" s="8" t="s">
        <v>12</v>
      </c>
      <c r="D240" s="25">
        <v>14970.8</v>
      </c>
      <c r="E240" s="45">
        <v>0</v>
      </c>
      <c r="F240" s="24">
        <v>0</v>
      </c>
      <c r="G240" s="24">
        <v>0</v>
      </c>
      <c r="H240" s="24">
        <v>0</v>
      </c>
      <c r="I240" s="24">
        <v>0</v>
      </c>
      <c r="J240" s="25">
        <f>SUM(D240:I240)</f>
        <v>14970.8</v>
      </c>
      <c r="K240" s="8"/>
      <c r="L240" s="8"/>
    </row>
    <row r="241" spans="1:12" ht="15.75" hidden="1" thickBot="1">
      <c r="A241" s="8"/>
      <c r="B241" s="8"/>
      <c r="C241" s="8" t="s">
        <v>13</v>
      </c>
      <c r="D241" s="29"/>
      <c r="E241" s="34"/>
      <c r="F241" s="28"/>
      <c r="G241" s="28"/>
      <c r="H241" s="28"/>
      <c r="I241" s="28"/>
      <c r="J241" s="34">
        <v>0</v>
      </c>
      <c r="K241" s="8"/>
      <c r="L241" s="8"/>
    </row>
    <row r="242" spans="1:12">
      <c r="A242" s="8"/>
      <c r="B242" s="8"/>
      <c r="C242" s="8"/>
      <c r="D242" s="20"/>
      <c r="E242" s="35"/>
      <c r="F242" s="15"/>
      <c r="G242" s="15"/>
      <c r="H242" s="15"/>
      <c r="I242" s="15"/>
      <c r="J242" s="20"/>
      <c r="K242" s="8"/>
      <c r="L242" s="8"/>
    </row>
    <row r="243" spans="1:12" ht="15.75" thickBot="1">
      <c r="A243" s="8"/>
      <c r="B243" s="8"/>
      <c r="C243" s="8" t="s">
        <v>10</v>
      </c>
      <c r="D243" s="31">
        <f t="shared" ref="D243:I243" si="38">SUM(D240:D241)</f>
        <v>14970.8</v>
      </c>
      <c r="E243" s="44">
        <f t="shared" si="38"/>
        <v>0</v>
      </c>
      <c r="F243" s="30">
        <f t="shared" si="38"/>
        <v>0</v>
      </c>
      <c r="G243" s="30">
        <f t="shared" si="38"/>
        <v>0</v>
      </c>
      <c r="H243" s="30">
        <f t="shared" si="38"/>
        <v>0</v>
      </c>
      <c r="I243" s="30">
        <f t="shared" si="38"/>
        <v>0</v>
      </c>
      <c r="J243" s="31">
        <f>SUM(D243:I243)</f>
        <v>14970.8</v>
      </c>
      <c r="K243" s="8"/>
      <c r="L243" s="8"/>
    </row>
    <row r="244" spans="1:12" ht="15.75" thickTop="1">
      <c r="A244" s="8"/>
      <c r="B244" s="8"/>
      <c r="C244" s="8"/>
      <c r="D244" s="20"/>
      <c r="E244" s="20"/>
      <c r="F244" s="15"/>
      <c r="G244" s="15"/>
      <c r="H244" s="15"/>
      <c r="I244" s="15"/>
      <c r="J244" s="20"/>
      <c r="K244" s="8"/>
      <c r="L244" s="8"/>
    </row>
    <row r="245" spans="1:12">
      <c r="A245" s="8"/>
      <c r="B245" s="8"/>
      <c r="C245" s="8"/>
      <c r="D245" s="20"/>
      <c r="E245" s="20"/>
      <c r="F245" s="15"/>
      <c r="G245" s="15"/>
      <c r="H245" s="15"/>
      <c r="I245" s="15"/>
      <c r="J245" s="20"/>
      <c r="K245" s="8"/>
      <c r="L245" s="8"/>
    </row>
    <row r="246" spans="1:12">
      <c r="A246" s="8">
        <v>59</v>
      </c>
      <c r="B246" s="8" t="s">
        <v>54</v>
      </c>
      <c r="C246" s="8" t="s">
        <v>12</v>
      </c>
      <c r="D246" s="20">
        <v>19247.62</v>
      </c>
      <c r="E246" s="20">
        <v>651.88</v>
      </c>
      <c r="F246" s="15">
        <v>277.39999999999998</v>
      </c>
      <c r="G246" s="15">
        <v>1.1599999999999999</v>
      </c>
      <c r="H246" s="15">
        <v>1.55</v>
      </c>
      <c r="I246" s="15">
        <v>1.55</v>
      </c>
      <c r="J246" s="20">
        <f>SUM(D246:I246)</f>
        <v>20181.16</v>
      </c>
      <c r="K246" s="8"/>
      <c r="L246" s="8"/>
    </row>
    <row r="247" spans="1:12" ht="15.75" thickBot="1">
      <c r="A247" s="8"/>
      <c r="B247" s="8"/>
      <c r="C247" s="8" t="s">
        <v>35</v>
      </c>
      <c r="D247" s="29">
        <v>1060.73</v>
      </c>
      <c r="E247" s="29">
        <v>33.92</v>
      </c>
      <c r="F247" s="28">
        <v>15.6</v>
      </c>
      <c r="G247" s="28">
        <v>0.65</v>
      </c>
      <c r="H247" s="28">
        <v>0.14000000000000001</v>
      </c>
      <c r="I247" s="28">
        <v>7.0000000000000007E-2</v>
      </c>
      <c r="J247" s="29">
        <f>SUM(D247:I247)</f>
        <v>1111.1100000000001</v>
      </c>
      <c r="K247" s="8"/>
      <c r="L247" s="8"/>
    </row>
    <row r="248" spans="1:12">
      <c r="A248" s="8"/>
      <c r="B248" s="8"/>
      <c r="C248" s="8"/>
      <c r="D248" s="20"/>
      <c r="E248" s="20"/>
      <c r="F248" s="15"/>
      <c r="G248" s="15"/>
      <c r="H248" s="15"/>
      <c r="I248" s="15"/>
      <c r="J248" s="20"/>
      <c r="K248" s="8"/>
      <c r="L248" s="8"/>
    </row>
    <row r="249" spans="1:12" ht="15.75" thickBot="1">
      <c r="A249" s="8"/>
      <c r="B249" s="8"/>
      <c r="C249" s="8" t="s">
        <v>10</v>
      </c>
      <c r="D249" s="31">
        <f t="shared" ref="D249:I249" si="39">SUM(D246:D247)</f>
        <v>20308.349999999999</v>
      </c>
      <c r="E249" s="31">
        <f t="shared" si="39"/>
        <v>685.8</v>
      </c>
      <c r="F249" s="30">
        <f t="shared" si="39"/>
        <v>293</v>
      </c>
      <c r="G249" s="30">
        <f t="shared" si="39"/>
        <v>1.81</v>
      </c>
      <c r="H249" s="30">
        <f t="shared" si="39"/>
        <v>1.69</v>
      </c>
      <c r="I249" s="30">
        <f t="shared" si="39"/>
        <v>1.62</v>
      </c>
      <c r="J249" s="31">
        <f>SUM(D249:I249)</f>
        <v>21292.269999999997</v>
      </c>
      <c r="K249" s="8"/>
      <c r="L249" s="8"/>
    </row>
    <row r="250" spans="1:12" ht="15.75" thickTop="1">
      <c r="A250" s="8"/>
      <c r="B250" s="8"/>
      <c r="C250" s="8"/>
      <c r="D250" s="20"/>
      <c r="E250" s="20"/>
      <c r="F250" s="15"/>
      <c r="G250" s="15"/>
      <c r="H250" s="15"/>
      <c r="I250" s="15"/>
      <c r="J250" s="20"/>
      <c r="K250" s="8"/>
      <c r="L250" s="8"/>
    </row>
    <row r="251" spans="1:12">
      <c r="A251" s="8"/>
      <c r="B251" s="8"/>
      <c r="C251" s="8"/>
      <c r="D251" s="20"/>
      <c r="E251" s="20"/>
      <c r="F251" s="15"/>
      <c r="G251" s="15"/>
      <c r="H251" s="15"/>
      <c r="I251" s="15"/>
      <c r="J251" s="20"/>
      <c r="K251" s="8"/>
      <c r="L251" s="8"/>
    </row>
    <row r="252" spans="1:12">
      <c r="A252" s="8">
        <v>60</v>
      </c>
      <c r="B252" s="8" t="s">
        <v>55</v>
      </c>
      <c r="C252" s="8" t="s">
        <v>12</v>
      </c>
      <c r="D252" s="20">
        <v>60264.27</v>
      </c>
      <c r="E252" s="20">
        <v>1171.3</v>
      </c>
      <c r="F252" s="15">
        <v>879.08</v>
      </c>
      <c r="G252" s="15">
        <v>0</v>
      </c>
      <c r="H252" s="15">
        <v>0</v>
      </c>
      <c r="I252" s="15">
        <v>0</v>
      </c>
      <c r="J252" s="20">
        <f>SUM(D252:I252)</f>
        <v>62314.65</v>
      </c>
      <c r="K252" s="8"/>
      <c r="L252" s="8"/>
    </row>
    <row r="253" spans="1:12">
      <c r="A253" s="8"/>
      <c r="B253" s="8"/>
      <c r="C253" s="38" t="s">
        <v>35</v>
      </c>
      <c r="D253" s="20">
        <v>3113.49</v>
      </c>
      <c r="E253" s="35">
        <v>59.88</v>
      </c>
      <c r="F253" s="15">
        <v>0</v>
      </c>
      <c r="G253" s="15">
        <v>0</v>
      </c>
      <c r="H253" s="15">
        <v>0</v>
      </c>
      <c r="I253" s="15">
        <v>0</v>
      </c>
      <c r="J253" s="20">
        <f>SUM(D253:I253)</f>
        <v>3173.37</v>
      </c>
      <c r="K253" s="8"/>
      <c r="L253" s="8"/>
    </row>
    <row r="254" spans="1:12">
      <c r="A254" s="8"/>
      <c r="B254" s="8"/>
      <c r="C254" s="8" t="s">
        <v>97</v>
      </c>
      <c r="D254" s="20">
        <v>502.54</v>
      </c>
      <c r="E254" s="35">
        <v>8.0399999999999991</v>
      </c>
      <c r="F254" s="15">
        <v>0</v>
      </c>
      <c r="G254" s="15">
        <v>0</v>
      </c>
      <c r="H254" s="15">
        <v>0</v>
      </c>
      <c r="I254" s="15">
        <v>0</v>
      </c>
      <c r="J254" s="20">
        <f>SUM(D254:I254)</f>
        <v>510.58000000000004</v>
      </c>
      <c r="K254" s="8"/>
      <c r="L254" s="8"/>
    </row>
    <row r="255" spans="1:12">
      <c r="A255" s="8"/>
      <c r="B255" s="8"/>
      <c r="C255" s="8" t="s">
        <v>98</v>
      </c>
      <c r="D255" s="25">
        <v>1607.35</v>
      </c>
      <c r="E255" s="45">
        <v>35.72</v>
      </c>
      <c r="F255" s="24">
        <v>0</v>
      </c>
      <c r="G255" s="24">
        <v>0</v>
      </c>
      <c r="H255" s="24">
        <v>0</v>
      </c>
      <c r="I255" s="24">
        <v>0</v>
      </c>
      <c r="J255" s="25">
        <f>SUM(D255:I255)</f>
        <v>1643.07</v>
      </c>
      <c r="K255" s="8"/>
      <c r="L255" s="8"/>
    </row>
    <row r="256" spans="1:12">
      <c r="A256" s="8"/>
      <c r="B256" s="8"/>
      <c r="C256" s="8"/>
      <c r="D256" s="20"/>
      <c r="E256" s="20"/>
      <c r="F256" s="15"/>
      <c r="G256" s="15"/>
      <c r="H256" s="15"/>
      <c r="I256" s="15"/>
      <c r="J256" s="20"/>
      <c r="K256" s="8"/>
      <c r="L256" s="8"/>
    </row>
    <row r="257" spans="1:12">
      <c r="A257" s="8"/>
      <c r="B257" s="8"/>
      <c r="C257" s="8"/>
      <c r="D257" s="20"/>
      <c r="E257" s="20"/>
      <c r="F257" s="15"/>
      <c r="G257" s="15"/>
      <c r="H257" s="15"/>
      <c r="I257" s="15"/>
      <c r="J257" s="20"/>
      <c r="K257" s="8"/>
      <c r="L257" s="8"/>
    </row>
    <row r="258" spans="1:12" ht="15.75" thickBot="1">
      <c r="A258" s="8"/>
      <c r="B258" s="8"/>
      <c r="C258" s="8" t="s">
        <v>10</v>
      </c>
      <c r="D258" s="31">
        <f t="shared" ref="D258:I258" si="40">SUM(D252:D257)</f>
        <v>65487.649999999994</v>
      </c>
      <c r="E258" s="31">
        <f t="shared" si="40"/>
        <v>1274.94</v>
      </c>
      <c r="F258" s="30">
        <f t="shared" si="40"/>
        <v>879.08</v>
      </c>
      <c r="G258" s="30">
        <f t="shared" si="40"/>
        <v>0</v>
      </c>
      <c r="H258" s="30">
        <f t="shared" si="40"/>
        <v>0</v>
      </c>
      <c r="I258" s="30">
        <f t="shared" si="40"/>
        <v>0</v>
      </c>
      <c r="J258" s="31">
        <f>SUM(D258:I258)</f>
        <v>67641.67</v>
      </c>
      <c r="K258" s="8"/>
      <c r="L258" s="8"/>
    </row>
    <row r="259" spans="1:12" ht="15.75" thickTop="1">
      <c r="A259" s="8"/>
      <c r="B259" s="8"/>
      <c r="C259" s="8"/>
      <c r="D259" s="20"/>
      <c r="E259" s="20"/>
      <c r="F259" s="15"/>
      <c r="G259" s="15"/>
      <c r="H259" s="15"/>
      <c r="I259" s="15"/>
      <c r="J259" s="20"/>
      <c r="K259" s="8"/>
      <c r="L259" s="8"/>
    </row>
    <row r="260" spans="1:12">
      <c r="A260" s="8"/>
      <c r="B260" s="8"/>
      <c r="C260" s="8"/>
      <c r="D260" s="20"/>
      <c r="E260" s="20"/>
      <c r="F260" s="15"/>
      <c r="G260" s="15"/>
      <c r="H260" s="15"/>
      <c r="I260" s="15"/>
      <c r="J260" s="20"/>
      <c r="K260" s="8"/>
      <c r="L260" s="8"/>
    </row>
    <row r="261" spans="1:12">
      <c r="A261" s="8">
        <v>61</v>
      </c>
      <c r="B261" s="8" t="s">
        <v>56</v>
      </c>
      <c r="C261" s="8" t="s">
        <v>12</v>
      </c>
      <c r="D261" s="39">
        <v>13503.05</v>
      </c>
      <c r="E261" s="35">
        <v>0</v>
      </c>
      <c r="F261" s="15">
        <v>0</v>
      </c>
      <c r="G261" s="15">
        <v>0</v>
      </c>
      <c r="H261" s="15">
        <v>0</v>
      </c>
      <c r="I261" s="15">
        <v>0</v>
      </c>
      <c r="J261" s="20">
        <f>SUM(D261:I261)</f>
        <v>13503.05</v>
      </c>
      <c r="K261" s="8"/>
      <c r="L261" s="8"/>
    </row>
    <row r="262" spans="1:12">
      <c r="A262" s="8"/>
      <c r="B262" s="8"/>
      <c r="C262" s="8" t="s">
        <v>13</v>
      </c>
      <c r="D262" s="20">
        <v>206.61</v>
      </c>
      <c r="E262" s="35">
        <v>0</v>
      </c>
      <c r="F262" s="15">
        <v>0</v>
      </c>
      <c r="G262" s="15">
        <v>0</v>
      </c>
      <c r="H262" s="15">
        <v>0</v>
      </c>
      <c r="I262" s="15">
        <v>0</v>
      </c>
      <c r="J262" s="20">
        <f>SUM(D262:I262)</f>
        <v>206.61</v>
      </c>
      <c r="K262" s="8"/>
      <c r="L262" s="8"/>
    </row>
    <row r="263" spans="1:12" ht="15.75" thickBot="1">
      <c r="A263" s="8"/>
      <c r="B263" s="8"/>
      <c r="C263" s="8" t="s">
        <v>99</v>
      </c>
      <c r="D263" s="29">
        <v>827.22</v>
      </c>
      <c r="E263" s="34">
        <v>0</v>
      </c>
      <c r="F263" s="28">
        <v>0</v>
      </c>
      <c r="G263" s="28">
        <v>0</v>
      </c>
      <c r="H263" s="28">
        <v>0</v>
      </c>
      <c r="I263" s="28">
        <v>0</v>
      </c>
      <c r="J263" s="29">
        <f>SUM(D263:I263)</f>
        <v>827.22</v>
      </c>
      <c r="K263" s="8"/>
      <c r="L263" s="8"/>
    </row>
    <row r="264" spans="1:12">
      <c r="A264" s="8"/>
      <c r="B264" s="8"/>
      <c r="C264" s="8"/>
      <c r="D264" s="20"/>
      <c r="E264" s="35"/>
      <c r="F264" s="15"/>
      <c r="G264" s="15"/>
      <c r="H264" s="15"/>
      <c r="I264" s="15"/>
      <c r="J264" s="20"/>
      <c r="K264" s="8"/>
      <c r="L264" s="8"/>
    </row>
    <row r="265" spans="1:12" ht="15.75" thickBot="1">
      <c r="A265" s="8"/>
      <c r="B265" s="8"/>
      <c r="C265" s="8" t="s">
        <v>10</v>
      </c>
      <c r="D265" s="31">
        <f>SUM(D261:D263)</f>
        <v>14536.88</v>
      </c>
      <c r="E265" s="44">
        <f t="shared" ref="E265:J265" si="41">SUM(E261:E263)</f>
        <v>0</v>
      </c>
      <c r="F265" s="30">
        <f t="shared" si="41"/>
        <v>0</v>
      </c>
      <c r="G265" s="30">
        <f t="shared" si="41"/>
        <v>0</v>
      </c>
      <c r="H265" s="30">
        <f t="shared" si="41"/>
        <v>0</v>
      </c>
      <c r="I265" s="30">
        <f t="shared" si="41"/>
        <v>0</v>
      </c>
      <c r="J265" s="30">
        <f t="shared" si="41"/>
        <v>14536.88</v>
      </c>
      <c r="K265" s="8"/>
      <c r="L265" s="8"/>
    </row>
    <row r="266" spans="1:12" ht="15.75" thickTop="1">
      <c r="A266" s="8"/>
      <c r="B266" s="8"/>
      <c r="C266" s="8"/>
      <c r="D266" s="20"/>
      <c r="E266" s="35"/>
      <c r="F266" s="15"/>
      <c r="G266" s="15"/>
      <c r="H266" s="15"/>
      <c r="I266" s="15"/>
      <c r="J266" s="20"/>
      <c r="K266" s="8"/>
      <c r="L266" s="8"/>
    </row>
    <row r="267" spans="1:12">
      <c r="A267" s="8"/>
      <c r="B267" s="8"/>
      <c r="C267" s="8"/>
      <c r="D267" s="20"/>
      <c r="E267" s="35"/>
      <c r="F267" s="15"/>
      <c r="G267" s="15"/>
      <c r="H267" s="15"/>
      <c r="I267" s="15"/>
      <c r="J267" s="20"/>
      <c r="K267" s="8"/>
      <c r="L267" s="8"/>
    </row>
    <row r="268" spans="1:12">
      <c r="A268" s="8">
        <v>62</v>
      </c>
      <c r="B268" s="8" t="s">
        <v>57</v>
      </c>
      <c r="C268" s="8" t="s">
        <v>12</v>
      </c>
      <c r="D268" s="20">
        <v>10448.799999999999</v>
      </c>
      <c r="E268" s="35">
        <v>0</v>
      </c>
      <c r="F268" s="15">
        <v>0</v>
      </c>
      <c r="G268" s="15">
        <v>0</v>
      </c>
      <c r="H268" s="15">
        <v>0</v>
      </c>
      <c r="I268" s="15">
        <v>0</v>
      </c>
      <c r="J268" s="20">
        <f>SUM(D268:I268)</f>
        <v>10448.799999999999</v>
      </c>
      <c r="K268" s="8"/>
      <c r="L268" s="8"/>
    </row>
    <row r="269" spans="1:12" ht="15.75" thickBot="1">
      <c r="A269" s="8"/>
      <c r="B269" s="8"/>
      <c r="C269" s="8" t="s">
        <v>13</v>
      </c>
      <c r="D269" s="29">
        <v>83.24</v>
      </c>
      <c r="E269" s="34">
        <v>0</v>
      </c>
      <c r="F269" s="28">
        <v>0</v>
      </c>
      <c r="G269" s="28">
        <v>0</v>
      </c>
      <c r="H269" s="28">
        <v>0</v>
      </c>
      <c r="I269" s="28">
        <v>0</v>
      </c>
      <c r="J269" s="29">
        <f>SUM(D269:I269)</f>
        <v>83.24</v>
      </c>
      <c r="K269" s="8"/>
      <c r="L269" s="8"/>
    </row>
    <row r="270" spans="1:12">
      <c r="A270" s="8"/>
      <c r="B270" s="8"/>
      <c r="C270" s="8"/>
      <c r="D270" s="20"/>
      <c r="E270" s="35"/>
      <c r="F270" s="15"/>
      <c r="G270" s="15"/>
      <c r="H270" s="15"/>
      <c r="I270" s="15"/>
      <c r="J270" s="20"/>
      <c r="K270" s="8"/>
      <c r="L270" s="8"/>
    </row>
    <row r="271" spans="1:12" ht="15.75" thickBot="1">
      <c r="A271" s="8"/>
      <c r="B271" s="8"/>
      <c r="C271" s="8" t="s">
        <v>10</v>
      </c>
      <c r="D271" s="31">
        <f t="shared" ref="D271:I271" si="42">SUM(D268:D269)</f>
        <v>10532.039999999999</v>
      </c>
      <c r="E271" s="44">
        <f t="shared" si="42"/>
        <v>0</v>
      </c>
      <c r="F271" s="30">
        <f t="shared" si="42"/>
        <v>0</v>
      </c>
      <c r="G271" s="30">
        <f t="shared" si="42"/>
        <v>0</v>
      </c>
      <c r="H271" s="30">
        <f t="shared" si="42"/>
        <v>0</v>
      </c>
      <c r="I271" s="30">
        <f t="shared" si="42"/>
        <v>0</v>
      </c>
      <c r="J271" s="31">
        <f>SUM(D271:I271)</f>
        <v>10532.039999999999</v>
      </c>
      <c r="K271" s="8"/>
      <c r="L271" s="8"/>
    </row>
    <row r="272" spans="1:12" ht="15.75" thickTop="1">
      <c r="A272" s="8"/>
      <c r="B272" s="8"/>
      <c r="C272" s="8"/>
      <c r="D272" s="20"/>
      <c r="E272" s="20"/>
      <c r="F272" s="15"/>
      <c r="G272" s="15"/>
      <c r="H272" s="15"/>
      <c r="I272" s="15"/>
      <c r="J272" s="20"/>
      <c r="K272" s="8"/>
      <c r="L272" s="8"/>
    </row>
    <row r="273" spans="1:12">
      <c r="A273" s="8"/>
      <c r="B273" s="8"/>
      <c r="C273" s="8"/>
      <c r="D273" s="20"/>
      <c r="E273" s="20"/>
      <c r="F273" s="15"/>
      <c r="G273" s="15"/>
      <c r="H273" s="15"/>
      <c r="I273" s="15"/>
      <c r="J273" s="20"/>
      <c r="K273" s="8"/>
      <c r="L273" s="8"/>
    </row>
    <row r="274" spans="1:12">
      <c r="A274" s="8">
        <v>63</v>
      </c>
      <c r="B274" s="8" t="s">
        <v>58</v>
      </c>
      <c r="C274" s="8" t="s">
        <v>12</v>
      </c>
      <c r="D274" s="20">
        <v>11321.18</v>
      </c>
      <c r="E274" s="20">
        <v>333.9</v>
      </c>
      <c r="F274" s="15">
        <v>0</v>
      </c>
      <c r="G274" s="15">
        <v>0</v>
      </c>
      <c r="H274" s="15">
        <v>0</v>
      </c>
      <c r="I274" s="15">
        <v>0</v>
      </c>
      <c r="J274" s="20">
        <f>SUM(D274:I274)</f>
        <v>11655.08</v>
      </c>
      <c r="K274" s="8"/>
      <c r="L274" s="8"/>
    </row>
    <row r="275" spans="1:12" ht="15.75" thickBot="1">
      <c r="A275" s="8"/>
      <c r="B275" s="8"/>
      <c r="C275" s="8" t="s">
        <v>13</v>
      </c>
      <c r="D275" s="29">
        <v>269.12</v>
      </c>
      <c r="E275" s="29">
        <v>6.99</v>
      </c>
      <c r="F275" s="28">
        <v>0</v>
      </c>
      <c r="G275" s="28">
        <v>0</v>
      </c>
      <c r="H275" s="28">
        <v>0</v>
      </c>
      <c r="I275" s="28">
        <v>0</v>
      </c>
      <c r="J275" s="29">
        <f>SUM(D275:I275)</f>
        <v>276.11</v>
      </c>
      <c r="K275" s="8"/>
      <c r="L275" s="8"/>
    </row>
    <row r="276" spans="1:12">
      <c r="A276" s="8"/>
      <c r="B276" s="8"/>
      <c r="C276" s="8"/>
      <c r="D276" s="20"/>
      <c r="E276" s="20"/>
      <c r="F276" s="15"/>
      <c r="G276" s="15"/>
      <c r="H276" s="15"/>
      <c r="I276" s="15"/>
      <c r="J276" s="20"/>
      <c r="K276" s="8"/>
      <c r="L276" s="8"/>
    </row>
    <row r="277" spans="1:12" ht="15.75" thickBot="1">
      <c r="A277" s="8"/>
      <c r="B277" s="8"/>
      <c r="C277" s="8" t="s">
        <v>10</v>
      </c>
      <c r="D277" s="31">
        <f t="shared" ref="D277:I277" si="43">SUM(D274:D275)</f>
        <v>11590.300000000001</v>
      </c>
      <c r="E277" s="31">
        <f t="shared" si="43"/>
        <v>340.89</v>
      </c>
      <c r="F277" s="30">
        <f t="shared" si="43"/>
        <v>0</v>
      </c>
      <c r="G277" s="30">
        <f t="shared" si="43"/>
        <v>0</v>
      </c>
      <c r="H277" s="30">
        <f t="shared" si="43"/>
        <v>0</v>
      </c>
      <c r="I277" s="30">
        <f t="shared" si="43"/>
        <v>0</v>
      </c>
      <c r="J277" s="31">
        <f>SUM(D277:I277)</f>
        <v>11931.19</v>
      </c>
      <c r="K277" s="8"/>
      <c r="L277" s="8"/>
    </row>
    <row r="278" spans="1:12" ht="15.75" thickTop="1">
      <c r="A278" s="8"/>
      <c r="B278" s="8"/>
      <c r="C278" s="8"/>
      <c r="D278" s="20"/>
      <c r="E278" s="20"/>
      <c r="F278" s="15"/>
      <c r="G278" s="15"/>
      <c r="H278" s="15"/>
      <c r="I278" s="15"/>
      <c r="J278" s="20"/>
      <c r="K278" s="8"/>
      <c r="L278" s="8"/>
    </row>
    <row r="279" spans="1:12">
      <c r="A279" s="8"/>
      <c r="B279" s="8"/>
      <c r="C279" s="8"/>
      <c r="D279" s="20"/>
      <c r="E279" s="20"/>
      <c r="F279" s="15"/>
      <c r="G279" s="15"/>
      <c r="H279" s="15"/>
      <c r="I279" s="15"/>
      <c r="J279" s="20"/>
      <c r="K279" s="8"/>
      <c r="L279" s="8"/>
    </row>
    <row r="280" spans="1:12" ht="15.75" thickBot="1">
      <c r="A280" s="8">
        <v>64</v>
      </c>
      <c r="B280" s="8" t="s">
        <v>59</v>
      </c>
      <c r="C280" s="8" t="s">
        <v>12</v>
      </c>
      <c r="D280" s="29">
        <v>65429.17</v>
      </c>
      <c r="E280" s="29">
        <v>668.99</v>
      </c>
      <c r="F280" s="28">
        <v>326.74</v>
      </c>
      <c r="G280" s="28">
        <v>34.43</v>
      </c>
      <c r="H280" s="28">
        <v>26.43</v>
      </c>
      <c r="I280" s="28">
        <v>34.44</v>
      </c>
      <c r="J280" s="29">
        <f>SUM(D280:I280)</f>
        <v>66520.2</v>
      </c>
      <c r="K280" s="8"/>
      <c r="L280" s="8"/>
    </row>
    <row r="281" spans="1:12">
      <c r="A281" s="8"/>
      <c r="B281" s="8"/>
      <c r="C281" s="8"/>
      <c r="D281" s="20"/>
      <c r="E281" s="20"/>
      <c r="F281" s="15"/>
      <c r="G281" s="15"/>
      <c r="H281" s="15"/>
      <c r="I281" s="15"/>
      <c r="J281" s="20"/>
      <c r="K281" s="8"/>
      <c r="L281" s="8"/>
    </row>
    <row r="282" spans="1:12" ht="15.75" thickBot="1">
      <c r="A282" s="8"/>
      <c r="B282" s="8"/>
      <c r="C282" s="8" t="s">
        <v>10</v>
      </c>
      <c r="D282" s="31">
        <f t="shared" ref="D282:I282" si="44">SUM(D280:D281)</f>
        <v>65429.17</v>
      </c>
      <c r="E282" s="31">
        <f t="shared" si="44"/>
        <v>668.99</v>
      </c>
      <c r="F282" s="30">
        <f t="shared" si="44"/>
        <v>326.74</v>
      </c>
      <c r="G282" s="30">
        <f t="shared" si="44"/>
        <v>34.43</v>
      </c>
      <c r="H282" s="30">
        <f t="shared" si="44"/>
        <v>26.43</v>
      </c>
      <c r="I282" s="30">
        <f t="shared" si="44"/>
        <v>34.44</v>
      </c>
      <c r="J282" s="31">
        <f>SUM(D282:I282)</f>
        <v>66520.2</v>
      </c>
      <c r="K282" s="8"/>
      <c r="L282" s="8"/>
    </row>
    <row r="283" spans="1:12" ht="15.75" thickTop="1">
      <c r="A283" s="8"/>
      <c r="B283" s="8"/>
      <c r="C283" s="8"/>
      <c r="D283" s="20"/>
      <c r="E283" s="20"/>
      <c r="F283" s="15"/>
      <c r="G283" s="15"/>
      <c r="H283" s="15"/>
      <c r="I283" s="15"/>
      <c r="J283" s="20"/>
      <c r="K283" s="8"/>
      <c r="L283" s="8"/>
    </row>
    <row r="284" spans="1:12">
      <c r="A284" s="8"/>
      <c r="B284" s="12"/>
      <c r="C284" s="12"/>
      <c r="D284" s="36"/>
      <c r="E284" s="36"/>
      <c r="F284" s="16"/>
      <c r="G284" s="13"/>
      <c r="H284" s="13"/>
      <c r="I284" s="13"/>
      <c r="J284" s="20"/>
      <c r="K284" s="8"/>
      <c r="L284" s="8"/>
    </row>
    <row r="285" spans="1:12">
      <c r="A285" s="8">
        <v>65</v>
      </c>
      <c r="B285" s="8" t="s">
        <v>60</v>
      </c>
      <c r="C285" s="8" t="s">
        <v>12</v>
      </c>
      <c r="D285" s="25">
        <v>9600.6299999999992</v>
      </c>
      <c r="E285" s="25">
        <v>31.67</v>
      </c>
      <c r="F285" s="24">
        <v>0</v>
      </c>
      <c r="G285" s="24">
        <v>0</v>
      </c>
      <c r="H285" s="24">
        <v>0</v>
      </c>
      <c r="I285" s="24">
        <v>0</v>
      </c>
      <c r="J285" s="25">
        <f>SUM(D285:I285)</f>
        <v>9632.2999999999993</v>
      </c>
      <c r="K285" s="8"/>
      <c r="L285" s="8"/>
    </row>
    <row r="286" spans="1:12" ht="15.75" hidden="1" thickBot="1">
      <c r="A286" s="8"/>
      <c r="B286" s="8"/>
      <c r="C286" s="8" t="s">
        <v>13</v>
      </c>
      <c r="D286" s="29"/>
      <c r="E286" s="29"/>
      <c r="F286" s="28"/>
      <c r="G286" s="28"/>
      <c r="H286" s="28"/>
      <c r="I286" s="28"/>
      <c r="J286" s="29"/>
      <c r="K286" s="8"/>
      <c r="L286" s="8"/>
    </row>
    <row r="287" spans="1:12">
      <c r="A287" s="8"/>
      <c r="B287" s="8"/>
      <c r="C287" s="8"/>
      <c r="D287" s="20"/>
      <c r="E287" s="20"/>
      <c r="F287" s="15"/>
      <c r="G287" s="15"/>
      <c r="H287" s="15"/>
      <c r="I287" s="15"/>
      <c r="J287" s="20"/>
      <c r="K287" s="8"/>
      <c r="L287" s="8"/>
    </row>
    <row r="288" spans="1:12" ht="15.75" thickBot="1">
      <c r="A288" s="8"/>
      <c r="B288" s="8"/>
      <c r="C288" s="8" t="s">
        <v>10</v>
      </c>
      <c r="D288" s="31">
        <f t="shared" ref="D288:I288" si="45">SUM(D285:D286)</f>
        <v>9600.6299999999992</v>
      </c>
      <c r="E288" s="31">
        <f t="shared" si="45"/>
        <v>31.67</v>
      </c>
      <c r="F288" s="30">
        <f t="shared" si="45"/>
        <v>0</v>
      </c>
      <c r="G288" s="30">
        <f t="shared" si="45"/>
        <v>0</v>
      </c>
      <c r="H288" s="30">
        <f t="shared" si="45"/>
        <v>0</v>
      </c>
      <c r="I288" s="30">
        <f t="shared" si="45"/>
        <v>0</v>
      </c>
      <c r="J288" s="31">
        <f>SUM(D288:I288)</f>
        <v>9632.2999999999993</v>
      </c>
      <c r="K288" s="8"/>
      <c r="L288" s="8"/>
    </row>
    <row r="289" spans="1:12" ht="15.75" thickTop="1">
      <c r="A289" s="8"/>
      <c r="B289" s="8"/>
      <c r="C289" s="8"/>
      <c r="D289" s="20"/>
      <c r="E289" s="20"/>
      <c r="F289" s="15"/>
      <c r="G289" s="15"/>
      <c r="H289" s="15"/>
      <c r="I289" s="15"/>
      <c r="J289" s="20"/>
      <c r="K289" s="8"/>
      <c r="L289" s="8"/>
    </row>
    <row r="290" spans="1:12">
      <c r="A290" s="8"/>
      <c r="B290" s="8"/>
      <c r="C290" s="8"/>
      <c r="D290" s="20"/>
      <c r="E290" s="20"/>
      <c r="F290" s="15"/>
      <c r="G290" s="15"/>
      <c r="H290" s="15"/>
      <c r="I290" s="15"/>
      <c r="J290" s="20"/>
      <c r="K290" s="8"/>
      <c r="L290" s="8"/>
    </row>
    <row r="291" spans="1:12">
      <c r="A291" s="8">
        <v>66</v>
      </c>
      <c r="B291" s="8" t="s">
        <v>61</v>
      </c>
      <c r="C291" s="8" t="s">
        <v>12</v>
      </c>
      <c r="D291" s="20">
        <v>9587.7099999999991</v>
      </c>
      <c r="E291" s="20">
        <v>604.84</v>
      </c>
      <c r="F291" s="15">
        <v>422.8</v>
      </c>
      <c r="G291" s="15">
        <v>0</v>
      </c>
      <c r="H291" s="15">
        <v>0</v>
      </c>
      <c r="I291" s="15">
        <v>0</v>
      </c>
      <c r="J291" s="20">
        <f>SUM(D291:I291)</f>
        <v>10615.349999999999</v>
      </c>
      <c r="K291" s="8"/>
      <c r="L291" s="8"/>
    </row>
    <row r="292" spans="1:12">
      <c r="A292" s="8"/>
      <c r="B292" s="8"/>
      <c r="C292" s="38" t="s">
        <v>35</v>
      </c>
      <c r="D292" s="20">
        <v>555.26</v>
      </c>
      <c r="E292" s="35">
        <v>0</v>
      </c>
      <c r="F292" s="15">
        <v>0</v>
      </c>
      <c r="G292" s="15">
        <v>0</v>
      </c>
      <c r="H292" s="15">
        <v>0</v>
      </c>
      <c r="I292" s="15">
        <v>0</v>
      </c>
      <c r="J292" s="35">
        <f>SUM(D292:I292)</f>
        <v>555.26</v>
      </c>
      <c r="K292" s="8"/>
      <c r="L292" s="8"/>
    </row>
    <row r="293" spans="1:12">
      <c r="A293" s="8"/>
      <c r="B293" s="8"/>
      <c r="C293" s="38" t="s">
        <v>73</v>
      </c>
      <c r="D293" s="20">
        <v>1111.0999999999999</v>
      </c>
      <c r="E293" s="20">
        <v>40.65</v>
      </c>
      <c r="F293" s="15">
        <v>28.67</v>
      </c>
      <c r="G293" s="15">
        <v>0</v>
      </c>
      <c r="H293" s="15">
        <v>0</v>
      </c>
      <c r="I293" s="15">
        <v>0</v>
      </c>
      <c r="J293" s="35">
        <f>SUM(D293:I293)</f>
        <v>1180.42</v>
      </c>
      <c r="K293" s="8"/>
      <c r="L293" s="8"/>
    </row>
    <row r="294" spans="1:12" ht="15.75" thickBot="1">
      <c r="A294" s="8"/>
      <c r="B294" s="8"/>
      <c r="C294" s="38" t="s">
        <v>109</v>
      </c>
      <c r="D294" s="29">
        <v>1666.56</v>
      </c>
      <c r="E294" s="34">
        <v>0</v>
      </c>
      <c r="F294" s="28">
        <v>0</v>
      </c>
      <c r="G294" s="33">
        <v>0</v>
      </c>
      <c r="H294" s="33">
        <v>0</v>
      </c>
      <c r="I294" s="33">
        <v>0</v>
      </c>
      <c r="J294" s="29">
        <f>SUM(D294:I294)</f>
        <v>1666.56</v>
      </c>
      <c r="K294" s="8"/>
      <c r="L294" s="8"/>
    </row>
    <row r="295" spans="1:12">
      <c r="A295" s="8"/>
      <c r="B295" s="8"/>
      <c r="C295" s="8"/>
      <c r="D295" s="20"/>
      <c r="E295" s="20"/>
      <c r="F295" s="15"/>
      <c r="G295" s="8"/>
      <c r="H295" s="8"/>
      <c r="I295" s="8"/>
      <c r="J295" s="20"/>
      <c r="K295" s="8"/>
      <c r="L295" s="8"/>
    </row>
    <row r="296" spans="1:12" ht="15.75" thickBot="1">
      <c r="A296" s="8"/>
      <c r="B296" s="8"/>
      <c r="C296" s="8" t="s">
        <v>10</v>
      </c>
      <c r="D296" s="31">
        <f t="shared" ref="D296:I296" si="46">SUM(D291:D294)</f>
        <v>12920.63</v>
      </c>
      <c r="E296" s="31">
        <f t="shared" si="46"/>
        <v>645.49</v>
      </c>
      <c r="F296" s="30">
        <f t="shared" si="46"/>
        <v>451.47</v>
      </c>
      <c r="G296" s="30">
        <f t="shared" si="46"/>
        <v>0</v>
      </c>
      <c r="H296" s="30">
        <f t="shared" si="46"/>
        <v>0</v>
      </c>
      <c r="I296" s="30">
        <f t="shared" si="46"/>
        <v>0</v>
      </c>
      <c r="J296" s="31">
        <f>SUM(D296:I296)</f>
        <v>14017.589999999998</v>
      </c>
      <c r="K296" s="8"/>
      <c r="L296" s="8"/>
    </row>
    <row r="297" spans="1:12" ht="15.75" thickTop="1">
      <c r="A297" s="8"/>
      <c r="B297" s="8"/>
      <c r="C297" s="8"/>
      <c r="D297" s="20"/>
      <c r="E297" s="20"/>
      <c r="F297" s="15"/>
      <c r="G297" s="15"/>
      <c r="H297" s="15"/>
      <c r="I297" s="15"/>
      <c r="J297" s="20"/>
      <c r="K297" s="8"/>
      <c r="L297" s="8"/>
    </row>
    <row r="298" spans="1:12">
      <c r="A298" s="8"/>
      <c r="B298" s="8"/>
      <c r="C298" s="8"/>
      <c r="D298" s="20"/>
      <c r="E298" s="20"/>
      <c r="F298" s="15"/>
      <c r="G298" s="15"/>
      <c r="H298" s="15"/>
      <c r="I298" s="15"/>
      <c r="J298" s="20"/>
      <c r="K298" s="8"/>
      <c r="L298" s="8"/>
    </row>
    <row r="299" spans="1:12">
      <c r="A299" s="8">
        <v>67</v>
      </c>
      <c r="B299" s="8" t="s">
        <v>62</v>
      </c>
      <c r="C299" s="8" t="s">
        <v>12</v>
      </c>
      <c r="D299" s="20">
        <v>11207.23</v>
      </c>
      <c r="E299" s="20">
        <v>370.64</v>
      </c>
      <c r="F299" s="15">
        <v>66.91</v>
      </c>
      <c r="G299" s="15">
        <v>0</v>
      </c>
      <c r="H299" s="15">
        <v>0</v>
      </c>
      <c r="I299" s="15">
        <v>0</v>
      </c>
      <c r="J299" s="20">
        <f>SUM(D299:I299)</f>
        <v>11644.779999999999</v>
      </c>
      <c r="K299" s="8"/>
      <c r="L299" s="8"/>
    </row>
    <row r="300" spans="1:12" ht="15.75" thickBot="1">
      <c r="A300" s="8"/>
      <c r="B300" s="8"/>
      <c r="C300" s="8" t="s">
        <v>13</v>
      </c>
      <c r="D300" s="29">
        <v>299.17</v>
      </c>
      <c r="E300" s="29">
        <v>9.44</v>
      </c>
      <c r="F300" s="28">
        <v>1.91</v>
      </c>
      <c r="G300" s="28">
        <v>0</v>
      </c>
      <c r="H300" s="28">
        <v>0</v>
      </c>
      <c r="I300" s="28">
        <v>0</v>
      </c>
      <c r="J300" s="29">
        <f>SUM(D300:I300)</f>
        <v>310.52000000000004</v>
      </c>
      <c r="K300" s="8"/>
      <c r="L300" s="8"/>
    </row>
    <row r="301" spans="1:12">
      <c r="A301" s="8"/>
      <c r="B301" s="8"/>
      <c r="C301" s="8"/>
      <c r="D301" s="20"/>
      <c r="E301" s="20"/>
      <c r="F301" s="15"/>
      <c r="G301" s="15"/>
      <c r="H301" s="15"/>
      <c r="I301" s="15"/>
      <c r="J301" s="20"/>
      <c r="K301" s="8"/>
      <c r="L301" s="8"/>
    </row>
    <row r="302" spans="1:12" ht="15.75" thickBot="1">
      <c r="A302" s="8"/>
      <c r="B302" s="8"/>
      <c r="C302" s="8" t="s">
        <v>10</v>
      </c>
      <c r="D302" s="31">
        <f t="shared" ref="D302:I302" si="47">SUM(D299:D300)</f>
        <v>11506.4</v>
      </c>
      <c r="E302" s="31">
        <f t="shared" si="47"/>
        <v>380.08</v>
      </c>
      <c r="F302" s="30">
        <f t="shared" si="47"/>
        <v>68.819999999999993</v>
      </c>
      <c r="G302" s="30">
        <f t="shared" si="47"/>
        <v>0</v>
      </c>
      <c r="H302" s="30">
        <f t="shared" si="47"/>
        <v>0</v>
      </c>
      <c r="I302" s="30">
        <f t="shared" si="47"/>
        <v>0</v>
      </c>
      <c r="J302" s="31">
        <f>SUM(D302:I302)</f>
        <v>11955.3</v>
      </c>
      <c r="K302" s="8"/>
      <c r="L302" s="8"/>
    </row>
    <row r="303" spans="1:12" ht="15.75" thickTop="1">
      <c r="A303" s="8"/>
      <c r="B303" s="8"/>
      <c r="C303" s="8"/>
      <c r="D303" s="20"/>
      <c r="E303" s="20"/>
      <c r="F303" s="15"/>
      <c r="G303" s="15"/>
      <c r="H303" s="15"/>
      <c r="I303" s="15"/>
      <c r="J303" s="20"/>
      <c r="K303" s="8"/>
      <c r="L303" s="8"/>
    </row>
    <row r="304" spans="1:12">
      <c r="A304" s="8"/>
      <c r="B304" s="8"/>
      <c r="C304" s="8"/>
      <c r="D304" s="20"/>
      <c r="E304" s="20"/>
      <c r="F304" s="15"/>
      <c r="G304" s="15"/>
      <c r="H304" s="15"/>
      <c r="I304" s="15"/>
      <c r="J304" s="20"/>
      <c r="K304" s="8"/>
      <c r="L304" s="8"/>
    </row>
    <row r="305" spans="1:12">
      <c r="A305" s="8">
        <v>68</v>
      </c>
      <c r="B305" s="8" t="s">
        <v>63</v>
      </c>
      <c r="C305" s="8" t="s">
        <v>12</v>
      </c>
      <c r="D305" s="25">
        <v>6661.32</v>
      </c>
      <c r="E305" s="45">
        <v>28.13</v>
      </c>
      <c r="F305" s="24">
        <v>0</v>
      </c>
      <c r="G305" s="24">
        <v>0</v>
      </c>
      <c r="H305" s="24">
        <v>0</v>
      </c>
      <c r="I305" s="24">
        <v>0</v>
      </c>
      <c r="J305" s="25">
        <f>SUM(D305:I305)</f>
        <v>6689.45</v>
      </c>
      <c r="K305" s="8"/>
      <c r="L305" s="8"/>
    </row>
    <row r="306" spans="1:12" ht="15.75" hidden="1" thickBot="1">
      <c r="A306" s="8"/>
      <c r="B306" s="8"/>
      <c r="C306" s="8" t="s">
        <v>13</v>
      </c>
      <c r="D306" s="29"/>
      <c r="E306" s="34"/>
      <c r="F306" s="28"/>
      <c r="G306" s="28"/>
      <c r="H306" s="28"/>
      <c r="I306" s="28"/>
      <c r="J306" s="29"/>
      <c r="K306" s="8"/>
      <c r="L306" s="8"/>
    </row>
    <row r="307" spans="1:12">
      <c r="A307" s="8"/>
      <c r="B307" s="8"/>
      <c r="C307" s="8"/>
      <c r="D307" s="20"/>
      <c r="E307" s="35"/>
      <c r="F307" s="15"/>
      <c r="G307" s="15"/>
      <c r="H307" s="15"/>
      <c r="I307" s="15"/>
      <c r="J307" s="20"/>
      <c r="K307" s="8"/>
      <c r="L307" s="8"/>
    </row>
    <row r="308" spans="1:12" ht="15.75" thickBot="1">
      <c r="A308" s="8"/>
      <c r="B308" s="8"/>
      <c r="C308" s="8" t="s">
        <v>10</v>
      </c>
      <c r="D308" s="31">
        <f t="shared" ref="D308:I308" si="48">SUM(D305:D306)</f>
        <v>6661.32</v>
      </c>
      <c r="E308" s="44">
        <f t="shared" si="48"/>
        <v>28.13</v>
      </c>
      <c r="F308" s="30">
        <f t="shared" si="48"/>
        <v>0</v>
      </c>
      <c r="G308" s="30">
        <f t="shared" si="48"/>
        <v>0</v>
      </c>
      <c r="H308" s="30">
        <f t="shared" si="48"/>
        <v>0</v>
      </c>
      <c r="I308" s="30">
        <f t="shared" si="48"/>
        <v>0</v>
      </c>
      <c r="J308" s="31">
        <f>SUM(D308:I308)</f>
        <v>6689.45</v>
      </c>
      <c r="K308" s="8"/>
      <c r="L308" s="8"/>
    </row>
    <row r="309" spans="1:12" ht="15.75" thickTop="1">
      <c r="A309" s="8"/>
      <c r="B309" s="8"/>
      <c r="C309" s="8"/>
      <c r="D309" s="20"/>
      <c r="E309" s="20"/>
      <c r="F309" s="15"/>
      <c r="G309" s="15"/>
      <c r="H309" s="15"/>
      <c r="I309" s="15"/>
      <c r="J309" s="20"/>
      <c r="K309" s="8"/>
      <c r="L309" s="8"/>
    </row>
    <row r="310" spans="1:12">
      <c r="A310" s="8"/>
      <c r="B310" s="8"/>
      <c r="C310" s="8"/>
      <c r="D310" s="20"/>
      <c r="E310" s="20"/>
      <c r="F310" s="15"/>
      <c r="G310" s="15"/>
      <c r="H310" s="15"/>
      <c r="I310" s="15"/>
      <c r="J310" s="20"/>
      <c r="K310" s="8"/>
      <c r="L310" s="8"/>
    </row>
    <row r="311" spans="1:12">
      <c r="A311" s="8">
        <v>69</v>
      </c>
      <c r="B311" s="8" t="s">
        <v>64</v>
      </c>
      <c r="C311" s="8" t="s">
        <v>12</v>
      </c>
      <c r="D311" s="25">
        <v>8366.52</v>
      </c>
      <c r="E311" s="25">
        <v>108.83</v>
      </c>
      <c r="F311" s="24">
        <v>109.64</v>
      </c>
      <c r="G311" s="24">
        <v>0</v>
      </c>
      <c r="H311" s="24">
        <v>0</v>
      </c>
      <c r="I311" s="24">
        <v>0</v>
      </c>
      <c r="J311" s="25">
        <f>SUM(D311:I311)</f>
        <v>8584.99</v>
      </c>
      <c r="K311" s="8"/>
      <c r="L311" s="8"/>
    </row>
    <row r="312" spans="1:12" ht="15.75" hidden="1" thickBot="1">
      <c r="A312" s="8"/>
      <c r="B312" s="8"/>
      <c r="C312" s="8" t="s">
        <v>13</v>
      </c>
      <c r="D312" s="29"/>
      <c r="E312" s="29"/>
      <c r="F312" s="28"/>
      <c r="G312" s="28"/>
      <c r="H312" s="28"/>
      <c r="I312" s="28"/>
      <c r="J312" s="34">
        <v>0</v>
      </c>
      <c r="K312" s="8"/>
      <c r="L312" s="8"/>
    </row>
    <row r="313" spans="1:12">
      <c r="A313" s="8"/>
      <c r="B313" s="8"/>
      <c r="C313" s="8"/>
      <c r="D313" s="20"/>
      <c r="E313" s="20"/>
      <c r="F313" s="15"/>
      <c r="G313" s="15"/>
      <c r="H313" s="15"/>
      <c r="I313" s="15"/>
      <c r="J313" s="20"/>
      <c r="K313" s="8"/>
      <c r="L313" s="8"/>
    </row>
    <row r="314" spans="1:12" ht="15.75" thickBot="1">
      <c r="A314" s="8"/>
      <c r="B314" s="8"/>
      <c r="C314" s="8" t="s">
        <v>10</v>
      </c>
      <c r="D314" s="31">
        <f t="shared" ref="D314:I314" si="49">SUM(D311:D312)</f>
        <v>8366.52</v>
      </c>
      <c r="E314" s="31">
        <f t="shared" si="49"/>
        <v>108.83</v>
      </c>
      <c r="F314" s="30">
        <f t="shared" si="49"/>
        <v>109.64</v>
      </c>
      <c r="G314" s="30">
        <f t="shared" si="49"/>
        <v>0</v>
      </c>
      <c r="H314" s="30">
        <f t="shared" si="49"/>
        <v>0</v>
      </c>
      <c r="I314" s="30">
        <f t="shared" si="49"/>
        <v>0</v>
      </c>
      <c r="J314" s="31">
        <f>SUM(D314:I314)</f>
        <v>8584.99</v>
      </c>
      <c r="K314" s="8"/>
      <c r="L314" s="8"/>
    </row>
    <row r="315" spans="1:12" ht="15.75" thickTop="1">
      <c r="A315" s="8"/>
      <c r="B315" s="8"/>
      <c r="C315" s="8"/>
      <c r="D315" s="20"/>
      <c r="E315" s="20"/>
      <c r="F315" s="15"/>
      <c r="G315" s="15"/>
      <c r="H315" s="15"/>
      <c r="I315" s="15"/>
      <c r="J315" s="20"/>
      <c r="K315" s="8"/>
      <c r="L315" s="8"/>
    </row>
    <row r="316" spans="1:12">
      <c r="A316" s="8"/>
      <c r="B316" s="8"/>
      <c r="C316" s="8"/>
      <c r="D316" s="20"/>
      <c r="E316" s="20"/>
      <c r="F316" s="15"/>
      <c r="G316" s="15"/>
      <c r="H316" s="15"/>
      <c r="I316" s="15"/>
      <c r="J316" s="20"/>
      <c r="K316" s="8"/>
      <c r="L316" s="8"/>
    </row>
    <row r="317" spans="1:12">
      <c r="A317" s="8">
        <v>70</v>
      </c>
      <c r="B317" s="8" t="s">
        <v>65</v>
      </c>
      <c r="C317" s="8" t="s">
        <v>12</v>
      </c>
      <c r="D317" s="25">
        <v>8716.7999999999993</v>
      </c>
      <c r="E317" s="45">
        <v>0</v>
      </c>
      <c r="F317" s="24">
        <v>0</v>
      </c>
      <c r="G317" s="24">
        <v>0</v>
      </c>
      <c r="H317" s="24">
        <v>0</v>
      </c>
      <c r="I317" s="24">
        <v>0</v>
      </c>
      <c r="J317" s="25">
        <f>SUM(D317:I317)</f>
        <v>8716.7999999999993</v>
      </c>
      <c r="K317" s="8"/>
      <c r="L317" s="8"/>
    </row>
    <row r="318" spans="1:12" ht="15.75" hidden="1" thickBot="1">
      <c r="A318" s="8"/>
      <c r="B318" s="8"/>
      <c r="C318" s="8" t="s">
        <v>78</v>
      </c>
      <c r="D318" s="29"/>
      <c r="E318" s="34"/>
      <c r="F318" s="28"/>
      <c r="G318" s="28"/>
      <c r="H318" s="28"/>
      <c r="I318" s="28"/>
      <c r="J318" s="29">
        <f>SUM(D318:I318)</f>
        <v>0</v>
      </c>
      <c r="K318" s="8"/>
      <c r="L318" s="8"/>
    </row>
    <row r="319" spans="1:12">
      <c r="A319" s="8"/>
      <c r="B319" s="8"/>
      <c r="C319" s="8"/>
      <c r="D319" s="20"/>
      <c r="E319" s="35"/>
      <c r="F319" s="15"/>
      <c r="G319" s="15"/>
      <c r="H319" s="15"/>
      <c r="I319" s="15"/>
      <c r="J319" s="20"/>
      <c r="K319" s="8"/>
      <c r="L319" s="8"/>
    </row>
    <row r="320" spans="1:12" ht="15.75" thickBot="1">
      <c r="A320" s="8"/>
      <c r="B320" s="8"/>
      <c r="C320" s="8" t="s">
        <v>10</v>
      </c>
      <c r="D320" s="31">
        <f t="shared" ref="D320:I320" si="50">SUM(D317:D319)</f>
        <v>8716.7999999999993</v>
      </c>
      <c r="E320" s="44">
        <f t="shared" si="50"/>
        <v>0</v>
      </c>
      <c r="F320" s="30">
        <f t="shared" si="50"/>
        <v>0</v>
      </c>
      <c r="G320" s="30">
        <f t="shared" si="50"/>
        <v>0</v>
      </c>
      <c r="H320" s="30">
        <f t="shared" si="50"/>
        <v>0</v>
      </c>
      <c r="I320" s="30">
        <f t="shared" si="50"/>
        <v>0</v>
      </c>
      <c r="J320" s="31">
        <f>SUM(D320:I320)</f>
        <v>8716.7999999999993</v>
      </c>
      <c r="K320" s="8"/>
      <c r="L320" s="8"/>
    </row>
    <row r="321" spans="1:12" ht="15.75" thickTop="1">
      <c r="A321" s="8"/>
      <c r="B321" s="8"/>
      <c r="C321" s="8"/>
      <c r="D321" s="20"/>
      <c r="E321" s="20"/>
      <c r="F321" s="15"/>
      <c r="G321" s="15"/>
      <c r="H321" s="15"/>
      <c r="I321" s="15"/>
      <c r="J321" s="20"/>
      <c r="K321" s="8"/>
      <c r="L321" s="8"/>
    </row>
    <row r="322" spans="1:12">
      <c r="A322" s="8"/>
      <c r="B322" s="8"/>
      <c r="C322" s="8" t="s">
        <v>66</v>
      </c>
      <c r="D322" s="20">
        <f t="shared" ref="D322:I322" si="51">SUM(D9:D320)/2</f>
        <v>697876.62999999989</v>
      </c>
      <c r="E322" s="20">
        <f t="shared" si="51"/>
        <v>11971.320000000005</v>
      </c>
      <c r="F322" s="15">
        <f t="shared" si="51"/>
        <v>6076.8199999999988</v>
      </c>
      <c r="G322" s="15">
        <f t="shared" si="51"/>
        <v>43.08</v>
      </c>
      <c r="H322" s="15">
        <f t="shared" si="51"/>
        <v>34.42</v>
      </c>
      <c r="I322" s="15">
        <f t="shared" si="51"/>
        <v>41.56</v>
      </c>
      <c r="J322" s="20">
        <f>SUM(D322:I322)</f>
        <v>716043.82999999984</v>
      </c>
      <c r="K322" s="8"/>
      <c r="L322" s="8"/>
    </row>
    <row r="323" spans="1:12">
      <c r="A323" s="8"/>
      <c r="B323" s="8"/>
      <c r="C323" s="8"/>
      <c r="D323" s="20"/>
      <c r="E323" s="20"/>
      <c r="F323" s="15"/>
      <c r="G323" s="8"/>
      <c r="H323" s="8"/>
      <c r="I323" s="8"/>
      <c r="J323" s="20"/>
      <c r="K323" s="8"/>
      <c r="L323" s="8"/>
    </row>
    <row r="324" spans="1:12">
      <c r="A324" s="8"/>
      <c r="B324" s="8"/>
      <c r="C324" s="8"/>
      <c r="D324" s="20"/>
      <c r="E324" s="20"/>
      <c r="F324" s="8"/>
      <c r="G324" s="8"/>
      <c r="H324" s="8"/>
      <c r="I324" s="8"/>
      <c r="J324" s="20"/>
      <c r="K324" s="8"/>
      <c r="L324" s="8"/>
    </row>
  </sheetData>
  <pageMargins left="0.25" right="0.25" top="0.25" bottom="0.25" header="0.5" footer="0.5"/>
  <pageSetup scale="70" fitToHeight="50" orientation="landscape" r:id="rId1"/>
  <headerFooter alignWithMargins="0"/>
  <rowBreaks count="51" manualBreakCount="51">
    <brk id="7" max="65535" man="1"/>
    <brk id="13" max="16383" man="1"/>
    <brk id="19" max="16383" man="1"/>
    <brk id="25" max="16383" man="1"/>
    <brk id="31" max="16383" man="1"/>
    <brk id="37" max="16383" man="1"/>
    <brk id="44" max="16383" man="1"/>
    <brk id="49" max="65535" man="1"/>
    <brk id="57" max="16383" man="1"/>
    <brk id="65" max="16383" man="1"/>
    <brk id="71" max="16383" man="1"/>
    <brk id="77" max="16383" man="1"/>
    <brk id="85" max="16383" man="1"/>
    <brk id="91" max="16383" man="1"/>
    <brk id="99" max="16383" man="1"/>
    <brk id="104" max="16383" man="1"/>
    <brk id="111" max="16383" man="1"/>
    <brk id="116" max="16383" man="1"/>
    <brk id="124" max="16383" man="1"/>
    <brk id="128" max="9" man="1"/>
    <brk id="134" max="16383" man="1"/>
    <brk id="141" max="16383" man="1"/>
    <brk id="147" max="16383" man="1"/>
    <brk id="155" max="16383" man="1"/>
    <brk id="160" max="9" man="1"/>
    <brk id="165" max="16383" man="1"/>
    <brk id="170" max="16383" man="1"/>
    <brk id="175" max="16383" man="1"/>
    <brk id="180" max="16383" man="1"/>
    <brk id="185" max="16383" man="1"/>
    <brk id="191" max="16383" man="1"/>
    <brk id="198" max="16383" man="1"/>
    <brk id="204" max="16383" man="1"/>
    <brk id="212" max="16383" man="1"/>
    <brk id="218" max="16383" man="1"/>
    <brk id="224" max="16383" man="1"/>
    <brk id="230" max="16383" man="1"/>
    <brk id="238" max="16383" man="1"/>
    <brk id="244" max="16383" man="1"/>
    <brk id="250" max="16383" man="1"/>
    <brk id="259" max="16383" man="1"/>
    <brk id="266" max="16383" man="1"/>
    <brk id="272" max="16383" man="1"/>
    <brk id="278" max="16383" man="1"/>
    <brk id="283" max="16383" man="1"/>
    <brk id="289" max="16383" man="1"/>
    <brk id="297" max="16383" man="1"/>
    <brk id="303" max="16383" man="1"/>
    <brk id="309" max="16383" man="1"/>
    <brk id="315" max="16383" man="1"/>
    <brk id="32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/>
  </sheetPr>
  <dimension ref="A1:L325"/>
  <sheetViews>
    <sheetView showOutlineSymbols="0" defaultGridColor="0" view="pageBreakPreview" colorId="23" zoomScale="60" zoomScaleNormal="75" workbookViewId="0">
      <selection activeCell="I320" sqref="I320"/>
    </sheetView>
  </sheetViews>
  <sheetFormatPr defaultColWidth="9.6640625" defaultRowHeight="15"/>
  <cols>
    <col min="1" max="1" width="9.6640625" style="10" customWidth="1"/>
    <col min="2" max="2" width="27.44140625" style="10" bestFit="1" customWidth="1"/>
    <col min="3" max="3" width="24.44140625" style="10" bestFit="1" customWidth="1"/>
    <col min="4" max="5" width="12.77734375" style="23" customWidth="1"/>
    <col min="6" max="6" width="12.6640625" style="10" customWidth="1"/>
    <col min="7" max="8" width="11.6640625" style="10" customWidth="1"/>
    <col min="9" max="9" width="9.6640625" style="10" customWidth="1"/>
    <col min="10" max="10" width="14.44140625" style="23" customWidth="1"/>
    <col min="11" max="16384" width="9.6640625" style="10"/>
  </cols>
  <sheetData>
    <row r="1" spans="1:12">
      <c r="A1" s="8"/>
      <c r="B1" s="8"/>
      <c r="C1" s="8"/>
      <c r="D1" s="20"/>
      <c r="E1" s="20"/>
      <c r="F1" s="8"/>
      <c r="G1" s="8"/>
      <c r="H1" s="8"/>
      <c r="I1" s="9"/>
      <c r="J1" s="20"/>
      <c r="K1" s="8"/>
      <c r="L1" s="8"/>
    </row>
    <row r="2" spans="1:12">
      <c r="A2" s="8"/>
      <c r="B2" s="8"/>
      <c r="C2" s="8"/>
      <c r="D2" s="20"/>
      <c r="E2" s="20"/>
      <c r="F2" s="8"/>
      <c r="G2" s="8"/>
      <c r="H2" s="8"/>
      <c r="I2" s="8"/>
      <c r="J2" s="20"/>
      <c r="K2" s="8"/>
      <c r="L2" s="8"/>
    </row>
    <row r="3" spans="1:12">
      <c r="A3" s="8"/>
      <c r="B3" s="8"/>
      <c r="C3" s="8"/>
      <c r="D3" s="20"/>
      <c r="E3" s="20"/>
      <c r="F3" s="8"/>
      <c r="G3" s="8"/>
      <c r="H3" s="8"/>
      <c r="I3" s="8"/>
      <c r="J3" s="20"/>
      <c r="K3" s="8"/>
      <c r="L3" s="8"/>
    </row>
    <row r="4" spans="1:12" ht="15.75">
      <c r="A4" s="8"/>
      <c r="B4" s="11" t="s">
        <v>1</v>
      </c>
      <c r="C4" s="9"/>
      <c r="D4" s="21"/>
      <c r="E4" s="21"/>
      <c r="F4" s="9"/>
      <c r="G4" s="9"/>
      <c r="H4" s="9"/>
      <c r="I4" s="9"/>
      <c r="J4" s="21"/>
      <c r="K4" s="8"/>
      <c r="L4" s="8"/>
    </row>
    <row r="5" spans="1:12" ht="15.75">
      <c r="A5" s="8"/>
      <c r="B5" s="11" t="s">
        <v>113</v>
      </c>
      <c r="C5" s="9"/>
      <c r="D5" s="21"/>
      <c r="E5" s="21"/>
      <c r="F5" s="9"/>
      <c r="G5" s="9"/>
      <c r="H5" s="9"/>
      <c r="I5" s="9"/>
      <c r="J5" s="21"/>
      <c r="K5" s="8"/>
      <c r="L5" s="8"/>
    </row>
    <row r="6" spans="1:12">
      <c r="A6" s="8"/>
      <c r="B6" s="8"/>
      <c r="C6" s="8"/>
      <c r="D6" s="20"/>
      <c r="E6" s="20"/>
      <c r="F6" s="8"/>
      <c r="G6" s="8"/>
      <c r="H6" s="8"/>
      <c r="I6" s="8"/>
      <c r="J6" s="20"/>
      <c r="K6" s="8"/>
      <c r="L6" s="8"/>
    </row>
    <row r="7" spans="1:12">
      <c r="A7" s="8"/>
      <c r="B7" s="12" t="s">
        <v>3</v>
      </c>
      <c r="C7" s="12" t="s">
        <v>4</v>
      </c>
      <c r="D7" s="37">
        <v>2012</v>
      </c>
      <c r="E7" s="37">
        <v>2011</v>
      </c>
      <c r="F7" s="13">
        <v>2010</v>
      </c>
      <c r="G7" s="13">
        <v>2009</v>
      </c>
      <c r="H7" s="13">
        <v>2008</v>
      </c>
      <c r="I7" s="14">
        <v>2007</v>
      </c>
      <c r="J7" s="22" t="s">
        <v>10</v>
      </c>
      <c r="K7" s="8"/>
      <c r="L7" s="8"/>
    </row>
    <row r="8" spans="1:12">
      <c r="A8" s="8"/>
      <c r="B8" s="8"/>
      <c r="C8" s="8"/>
      <c r="D8" s="20"/>
      <c r="E8" s="20"/>
      <c r="F8" s="8"/>
      <c r="G8" s="8"/>
      <c r="H8" s="8"/>
      <c r="I8" s="8"/>
      <c r="J8" s="20"/>
      <c r="K8" s="8"/>
      <c r="L8" s="8"/>
    </row>
    <row r="9" spans="1:12">
      <c r="A9" s="8">
        <v>21</v>
      </c>
      <c r="B9" s="8" t="s">
        <v>11</v>
      </c>
      <c r="C9" s="8" t="s">
        <v>12</v>
      </c>
      <c r="D9" s="20">
        <v>10391.469999999999</v>
      </c>
      <c r="E9" s="20">
        <v>123.26</v>
      </c>
      <c r="F9" s="15">
        <v>111.94</v>
      </c>
      <c r="G9" s="15">
        <v>0</v>
      </c>
      <c r="H9" s="15">
        <v>0</v>
      </c>
      <c r="I9" s="15">
        <v>0</v>
      </c>
      <c r="J9" s="20">
        <f>SUM(D9:I9)</f>
        <v>10626.67</v>
      </c>
      <c r="K9" s="8"/>
      <c r="L9" s="8"/>
    </row>
    <row r="10" spans="1:12" ht="15.75" thickBot="1">
      <c r="A10" s="8"/>
      <c r="B10" s="8"/>
      <c r="C10" s="8" t="s">
        <v>13</v>
      </c>
      <c r="D10" s="29">
        <v>194.58</v>
      </c>
      <c r="E10" s="29">
        <v>1.96</v>
      </c>
      <c r="F10" s="28">
        <v>2.09</v>
      </c>
      <c r="G10" s="28">
        <v>0</v>
      </c>
      <c r="H10" s="28">
        <v>0</v>
      </c>
      <c r="I10" s="28">
        <v>0</v>
      </c>
      <c r="J10" s="29">
        <f>SUM(D10:I10)</f>
        <v>198.63000000000002</v>
      </c>
      <c r="K10" s="8"/>
      <c r="L10" s="8"/>
    </row>
    <row r="11" spans="1:12">
      <c r="A11" s="8"/>
      <c r="B11" s="8"/>
      <c r="C11" s="8"/>
      <c r="D11" s="20"/>
      <c r="E11" s="20"/>
      <c r="F11" s="15"/>
      <c r="G11" s="15"/>
      <c r="H11" s="15"/>
      <c r="I11" s="15"/>
      <c r="J11" s="20"/>
      <c r="K11" s="8"/>
      <c r="L11" s="8"/>
    </row>
    <row r="12" spans="1:12" ht="15.75" thickBot="1">
      <c r="A12" s="8"/>
      <c r="B12" s="8"/>
      <c r="C12" s="8" t="s">
        <v>10</v>
      </c>
      <c r="D12" s="31">
        <f t="shared" ref="D12:I12" si="0">SUM(D9:D10)</f>
        <v>10586.05</v>
      </c>
      <c r="E12" s="31">
        <f t="shared" si="0"/>
        <v>125.22</v>
      </c>
      <c r="F12" s="30">
        <f t="shared" si="0"/>
        <v>114.03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>SUM(D12:I12)</f>
        <v>10825.3</v>
      </c>
      <c r="K12" s="8"/>
      <c r="L12" s="8"/>
    </row>
    <row r="13" spans="1:12" ht="15.75" thickTop="1">
      <c r="A13" s="8"/>
      <c r="B13" s="8"/>
      <c r="C13" s="8"/>
      <c r="D13" s="20"/>
      <c r="E13" s="20"/>
      <c r="F13" s="15"/>
      <c r="G13" s="8"/>
      <c r="H13" s="8"/>
      <c r="I13" s="8"/>
      <c r="J13" s="20"/>
      <c r="K13" s="8"/>
      <c r="L13" s="8"/>
    </row>
    <row r="14" spans="1:12">
      <c r="A14" s="8"/>
      <c r="B14" s="8"/>
      <c r="C14" s="8"/>
      <c r="D14" s="20"/>
      <c r="E14" s="20"/>
      <c r="F14" s="15"/>
      <c r="G14" s="8"/>
      <c r="H14" s="8"/>
      <c r="I14" s="8"/>
      <c r="J14" s="20"/>
      <c r="K14" s="8"/>
      <c r="L14" s="8"/>
    </row>
    <row r="15" spans="1:12">
      <c r="A15" s="8">
        <v>22</v>
      </c>
      <c r="B15" s="8" t="s">
        <v>15</v>
      </c>
      <c r="C15" s="8" t="s">
        <v>12</v>
      </c>
      <c r="D15" s="20">
        <v>13098.85</v>
      </c>
      <c r="E15" s="20">
        <v>592.37</v>
      </c>
      <c r="F15" s="15">
        <v>242.74</v>
      </c>
      <c r="G15" s="15">
        <v>0</v>
      </c>
      <c r="H15" s="15">
        <v>0</v>
      </c>
      <c r="I15" s="15">
        <v>0</v>
      </c>
      <c r="J15" s="20">
        <f>SUM(D15:I15)</f>
        <v>13933.960000000001</v>
      </c>
      <c r="K15" s="8"/>
      <c r="L15" s="8"/>
    </row>
    <row r="16" spans="1:12" ht="15.75" thickBot="1">
      <c r="A16" s="8"/>
      <c r="B16" s="8"/>
      <c r="C16" s="8" t="s">
        <v>13</v>
      </c>
      <c r="D16" s="29">
        <v>336.12</v>
      </c>
      <c r="E16" s="29">
        <v>14.42</v>
      </c>
      <c r="F16" s="28">
        <v>5.39</v>
      </c>
      <c r="G16" s="28">
        <v>0</v>
      </c>
      <c r="H16" s="28">
        <v>0</v>
      </c>
      <c r="I16" s="28">
        <v>0</v>
      </c>
      <c r="J16" s="29">
        <f>SUM(D16:I16)</f>
        <v>355.93</v>
      </c>
      <c r="K16" s="8"/>
      <c r="L16" s="8"/>
    </row>
    <row r="17" spans="1:12">
      <c r="A17" s="8"/>
      <c r="B17" s="8"/>
      <c r="C17" s="8"/>
      <c r="D17" s="20"/>
      <c r="E17" s="20"/>
      <c r="F17" s="15"/>
      <c r="G17" s="15"/>
      <c r="H17" s="15"/>
      <c r="I17" s="15"/>
      <c r="J17" s="20"/>
      <c r="K17" s="8"/>
      <c r="L17" s="8"/>
    </row>
    <row r="18" spans="1:12" ht="15.75" thickBot="1">
      <c r="A18" s="8"/>
      <c r="B18" s="8"/>
      <c r="C18" s="8" t="s">
        <v>10</v>
      </c>
      <c r="D18" s="31">
        <f t="shared" ref="D18:I18" si="1">SUM(D15:D16)</f>
        <v>13434.970000000001</v>
      </c>
      <c r="E18" s="31">
        <f t="shared" si="1"/>
        <v>606.79</v>
      </c>
      <c r="F18" s="30">
        <f t="shared" si="1"/>
        <v>248.13</v>
      </c>
      <c r="G18" s="30">
        <f t="shared" si="1"/>
        <v>0</v>
      </c>
      <c r="H18" s="30">
        <f t="shared" si="1"/>
        <v>0</v>
      </c>
      <c r="I18" s="30">
        <f t="shared" si="1"/>
        <v>0</v>
      </c>
      <c r="J18" s="31">
        <f>SUM(D18:I18)</f>
        <v>14289.890000000001</v>
      </c>
      <c r="K18" s="8"/>
      <c r="L18" s="8"/>
    </row>
    <row r="19" spans="1:12" ht="15.75" thickTop="1">
      <c r="A19" s="8"/>
      <c r="B19" s="8"/>
      <c r="C19" s="8"/>
      <c r="D19" s="20"/>
      <c r="E19" s="20"/>
      <c r="F19" s="15"/>
      <c r="G19" s="15"/>
      <c r="H19" s="15"/>
      <c r="I19" s="15"/>
      <c r="J19" s="20"/>
      <c r="K19" s="8"/>
      <c r="L19" s="8"/>
    </row>
    <row r="20" spans="1:12">
      <c r="A20" s="8"/>
      <c r="B20" s="8"/>
      <c r="C20" s="8"/>
      <c r="D20" s="20"/>
      <c r="E20" s="20"/>
      <c r="F20" s="15"/>
      <c r="G20" s="15"/>
      <c r="H20" s="15"/>
      <c r="I20" s="15"/>
      <c r="J20" s="20"/>
      <c r="K20" s="8"/>
      <c r="L20" s="8"/>
    </row>
    <row r="21" spans="1:12">
      <c r="A21" s="8">
        <v>23</v>
      </c>
      <c r="B21" s="8" t="s">
        <v>16</v>
      </c>
      <c r="C21" s="8" t="s">
        <v>12</v>
      </c>
      <c r="D21" s="25">
        <v>11987.32</v>
      </c>
      <c r="E21" s="25">
        <v>786.58</v>
      </c>
      <c r="F21" s="24">
        <v>493.97</v>
      </c>
      <c r="G21" s="24">
        <v>0</v>
      </c>
      <c r="H21" s="24">
        <v>0</v>
      </c>
      <c r="I21" s="24">
        <v>0</v>
      </c>
      <c r="J21" s="25">
        <f>SUM(D21:I21)</f>
        <v>13267.869999999999</v>
      </c>
      <c r="K21" s="8"/>
      <c r="L21" s="8"/>
    </row>
    <row r="22" spans="1:12" ht="15.75" hidden="1" thickBot="1">
      <c r="A22" s="8"/>
      <c r="B22" s="8"/>
      <c r="C22" s="8" t="s">
        <v>13</v>
      </c>
      <c r="D22" s="29"/>
      <c r="E22" s="29"/>
      <c r="F22" s="28"/>
      <c r="G22" s="28"/>
      <c r="H22" s="28"/>
      <c r="I22" s="28"/>
      <c r="J22" s="29">
        <f>SUM(D22:I22)</f>
        <v>0</v>
      </c>
      <c r="K22" s="8"/>
      <c r="L22" s="8"/>
    </row>
    <row r="23" spans="1:12">
      <c r="A23" s="8"/>
      <c r="B23" s="8"/>
      <c r="C23" s="8"/>
      <c r="D23" s="20"/>
      <c r="E23" s="20"/>
      <c r="F23" s="15"/>
      <c r="G23" s="15"/>
      <c r="H23" s="15"/>
      <c r="I23" s="15"/>
      <c r="J23" s="20"/>
      <c r="K23" s="8"/>
      <c r="L23" s="8"/>
    </row>
    <row r="24" spans="1:12" ht="15.75" thickBot="1">
      <c r="A24" s="8"/>
      <c r="B24" s="8"/>
      <c r="C24" s="8" t="s">
        <v>10</v>
      </c>
      <c r="D24" s="31">
        <f t="shared" ref="D24:I24" si="2">SUM(D21:D22)</f>
        <v>11987.32</v>
      </c>
      <c r="E24" s="31">
        <f t="shared" si="2"/>
        <v>786.58</v>
      </c>
      <c r="F24" s="30">
        <f t="shared" si="2"/>
        <v>493.97</v>
      </c>
      <c r="G24" s="30">
        <f t="shared" si="2"/>
        <v>0</v>
      </c>
      <c r="H24" s="30">
        <f t="shared" si="2"/>
        <v>0</v>
      </c>
      <c r="I24" s="30">
        <f t="shared" si="2"/>
        <v>0</v>
      </c>
      <c r="J24" s="31">
        <f>SUM(D24:I24)</f>
        <v>13267.869999999999</v>
      </c>
      <c r="K24" s="8"/>
      <c r="L24" s="8"/>
    </row>
    <row r="25" spans="1:12" ht="15.75" thickTop="1">
      <c r="A25" s="8"/>
      <c r="B25" s="8"/>
      <c r="C25" s="8"/>
      <c r="D25" s="20"/>
      <c r="E25" s="20"/>
      <c r="F25" s="15"/>
      <c r="G25" s="15"/>
      <c r="H25" s="15"/>
      <c r="I25" s="15"/>
      <c r="J25" s="20"/>
      <c r="K25" s="8"/>
      <c r="L25" s="8"/>
    </row>
    <row r="26" spans="1:12">
      <c r="A26" s="8"/>
      <c r="B26" s="8"/>
      <c r="C26" s="8"/>
      <c r="D26" s="20"/>
      <c r="E26" s="20"/>
      <c r="F26" s="15"/>
      <c r="G26" s="8"/>
      <c r="H26" s="8"/>
      <c r="I26" s="8"/>
      <c r="J26" s="20"/>
      <c r="K26" s="8"/>
      <c r="L26" s="8"/>
    </row>
    <row r="27" spans="1:12">
      <c r="A27" s="8"/>
      <c r="B27" s="8"/>
      <c r="C27" s="8"/>
      <c r="D27" s="20"/>
      <c r="E27" s="20"/>
      <c r="F27" s="15"/>
      <c r="G27" s="15"/>
      <c r="H27" s="15"/>
      <c r="I27" s="15"/>
      <c r="J27" s="20"/>
      <c r="K27" s="8"/>
      <c r="L27" s="8"/>
    </row>
    <row r="28" spans="1:12" ht="15.75" thickBot="1">
      <c r="A28" s="8">
        <v>24</v>
      </c>
      <c r="B28" s="8" t="s">
        <v>17</v>
      </c>
      <c r="C28" s="8" t="s">
        <v>12</v>
      </c>
      <c r="D28" s="29">
        <v>10248.43</v>
      </c>
      <c r="E28" s="34">
        <v>0</v>
      </c>
      <c r="F28" s="28">
        <v>0</v>
      </c>
      <c r="G28" s="28">
        <v>0</v>
      </c>
      <c r="H28" s="28">
        <v>0</v>
      </c>
      <c r="I28" s="28">
        <v>0</v>
      </c>
      <c r="J28" s="29">
        <f>SUM(D28:I28)</f>
        <v>10248.43</v>
      </c>
      <c r="K28" s="8"/>
      <c r="L28" s="8"/>
    </row>
    <row r="29" spans="1:12">
      <c r="A29" s="8"/>
      <c r="B29" s="8"/>
      <c r="C29" s="8"/>
      <c r="D29" s="20"/>
      <c r="E29" s="35"/>
      <c r="F29" s="15"/>
      <c r="G29" s="15"/>
      <c r="H29" s="15"/>
      <c r="I29" s="15"/>
      <c r="J29" s="20"/>
      <c r="K29" s="8"/>
      <c r="L29" s="8"/>
    </row>
    <row r="30" spans="1:12" ht="15.75" thickBot="1">
      <c r="A30" s="8"/>
      <c r="B30" s="8"/>
      <c r="C30" s="8" t="s">
        <v>10</v>
      </c>
      <c r="D30" s="31">
        <f t="shared" ref="D30:I30" si="3">SUM(D28:D29)</f>
        <v>10248.43</v>
      </c>
      <c r="E30" s="44">
        <f t="shared" si="3"/>
        <v>0</v>
      </c>
      <c r="F30" s="30">
        <f t="shared" si="3"/>
        <v>0</v>
      </c>
      <c r="G30" s="30">
        <f t="shared" si="3"/>
        <v>0</v>
      </c>
      <c r="H30" s="30">
        <f t="shared" si="3"/>
        <v>0</v>
      </c>
      <c r="I30" s="30">
        <f t="shared" si="3"/>
        <v>0</v>
      </c>
      <c r="J30" s="31">
        <f>SUM(D30:I30)</f>
        <v>10248.43</v>
      </c>
      <c r="K30" s="8"/>
      <c r="L30" s="8"/>
    </row>
    <row r="31" spans="1:12" ht="15.75" thickTop="1">
      <c r="A31" s="8"/>
      <c r="B31" s="8"/>
      <c r="C31" s="8"/>
      <c r="D31" s="20"/>
      <c r="E31" s="35"/>
      <c r="F31" s="15"/>
      <c r="G31" s="15"/>
      <c r="H31" s="15"/>
      <c r="I31" s="15"/>
      <c r="J31" s="20"/>
      <c r="K31" s="8"/>
      <c r="L31" s="8"/>
    </row>
    <row r="32" spans="1:12">
      <c r="A32" s="8"/>
      <c r="B32" s="8"/>
      <c r="C32" s="8"/>
      <c r="D32" s="20"/>
      <c r="E32" s="35"/>
      <c r="F32" s="15"/>
      <c r="G32" s="8"/>
      <c r="H32" s="8"/>
      <c r="I32" s="8"/>
      <c r="J32" s="20"/>
      <c r="K32" s="8"/>
      <c r="L32" s="8"/>
    </row>
    <row r="33" spans="1:12">
      <c r="A33" s="8"/>
      <c r="B33" s="8"/>
      <c r="C33" s="8"/>
      <c r="D33" s="20"/>
      <c r="E33" s="35"/>
      <c r="F33" s="15"/>
      <c r="G33" s="15"/>
      <c r="H33" s="15"/>
      <c r="I33" s="15"/>
      <c r="J33" s="20"/>
      <c r="K33" s="8"/>
      <c r="L33" s="8"/>
    </row>
    <row r="34" spans="1:12" ht="15.75" thickBot="1">
      <c r="A34" s="8">
        <v>25</v>
      </c>
      <c r="B34" s="8" t="s">
        <v>18</v>
      </c>
      <c r="C34" s="8" t="s">
        <v>12</v>
      </c>
      <c r="D34" s="34">
        <v>0</v>
      </c>
      <c r="E34" s="34">
        <v>0</v>
      </c>
      <c r="F34" s="28">
        <v>0</v>
      </c>
      <c r="G34" s="28">
        <v>0</v>
      </c>
      <c r="H34" s="28">
        <v>0</v>
      </c>
      <c r="I34" s="28">
        <v>0</v>
      </c>
      <c r="J34" s="34">
        <f>SUM(D34:I34)</f>
        <v>0</v>
      </c>
      <c r="K34" s="8"/>
      <c r="L34" s="8"/>
    </row>
    <row r="35" spans="1:12">
      <c r="A35" s="8"/>
      <c r="B35" s="8"/>
      <c r="C35" s="8"/>
      <c r="D35" s="35"/>
      <c r="E35" s="35"/>
      <c r="F35" s="15"/>
      <c r="G35" s="15"/>
      <c r="H35" s="15"/>
      <c r="I35" s="15"/>
      <c r="J35" s="35"/>
      <c r="K35" s="8"/>
      <c r="L35" s="8"/>
    </row>
    <row r="36" spans="1:12" ht="15.75" thickBot="1">
      <c r="A36" s="8"/>
      <c r="B36" s="8"/>
      <c r="C36" s="8" t="s">
        <v>10</v>
      </c>
      <c r="D36" s="44">
        <f t="shared" ref="D36:I36" si="4">SUM(D34:D35)</f>
        <v>0</v>
      </c>
      <c r="E36" s="44">
        <f t="shared" si="4"/>
        <v>0</v>
      </c>
      <c r="F36" s="30">
        <f t="shared" si="4"/>
        <v>0</v>
      </c>
      <c r="G36" s="30">
        <f t="shared" si="4"/>
        <v>0</v>
      </c>
      <c r="H36" s="30">
        <f t="shared" si="4"/>
        <v>0</v>
      </c>
      <c r="I36" s="30">
        <f t="shared" si="4"/>
        <v>0</v>
      </c>
      <c r="J36" s="44">
        <f>SUM(D36:I36)</f>
        <v>0</v>
      </c>
      <c r="K36" s="8"/>
      <c r="L36" s="8"/>
    </row>
    <row r="37" spans="1:12" ht="15.75" thickTop="1">
      <c r="A37" s="8"/>
      <c r="B37" s="8"/>
      <c r="C37" s="8"/>
      <c r="D37" s="20"/>
      <c r="E37" s="20"/>
      <c r="F37" s="15"/>
      <c r="G37" s="8"/>
      <c r="H37" s="8"/>
      <c r="I37" s="8"/>
      <c r="J37" s="20"/>
      <c r="K37" s="8"/>
      <c r="L37" s="8"/>
    </row>
    <row r="38" spans="1:12">
      <c r="A38" s="8"/>
      <c r="B38" s="8"/>
      <c r="C38" s="8"/>
      <c r="D38" s="20"/>
      <c r="E38" s="20"/>
      <c r="F38" s="15"/>
      <c r="G38" s="15"/>
      <c r="H38" s="15"/>
      <c r="I38" s="15"/>
      <c r="J38" s="20"/>
      <c r="K38" s="8"/>
      <c r="L38" s="8"/>
    </row>
    <row r="39" spans="1:12">
      <c r="A39" s="8"/>
      <c r="B39" s="8"/>
      <c r="C39" s="8"/>
      <c r="D39" s="20"/>
      <c r="E39" s="20"/>
      <c r="F39" s="15"/>
      <c r="G39" s="15"/>
      <c r="H39" s="15"/>
      <c r="I39" s="15"/>
      <c r="J39" s="20"/>
      <c r="K39" s="8"/>
      <c r="L39" s="8"/>
    </row>
    <row r="40" spans="1:12">
      <c r="A40" s="8">
        <v>26</v>
      </c>
      <c r="B40" s="8" t="s">
        <v>19</v>
      </c>
      <c r="C40" s="8" t="s">
        <v>12</v>
      </c>
      <c r="D40" s="20">
        <v>9611.09</v>
      </c>
      <c r="E40" s="35">
        <v>72.760000000000005</v>
      </c>
      <c r="F40" s="15">
        <v>0</v>
      </c>
      <c r="G40" s="15">
        <v>0</v>
      </c>
      <c r="H40" s="15">
        <v>0</v>
      </c>
      <c r="I40" s="15">
        <v>0</v>
      </c>
      <c r="J40" s="20">
        <f>SUM(D40:I40)</f>
        <v>9683.85</v>
      </c>
      <c r="K40" s="8"/>
      <c r="L40" s="8"/>
    </row>
    <row r="41" spans="1:12" ht="15.75" thickBot="1">
      <c r="A41" s="8"/>
      <c r="B41" s="8"/>
      <c r="C41" s="8" t="s">
        <v>13</v>
      </c>
      <c r="D41" s="29">
        <v>133.58000000000001</v>
      </c>
      <c r="E41" s="34">
        <v>1.0900000000000001</v>
      </c>
      <c r="F41" s="28">
        <v>0</v>
      </c>
      <c r="G41" s="28">
        <v>0</v>
      </c>
      <c r="H41" s="28">
        <v>0</v>
      </c>
      <c r="I41" s="28">
        <v>0</v>
      </c>
      <c r="J41" s="29">
        <f>SUM(D41:I41)</f>
        <v>134.67000000000002</v>
      </c>
      <c r="K41" s="8"/>
      <c r="L41" s="8"/>
    </row>
    <row r="42" spans="1:12">
      <c r="A42" s="8"/>
      <c r="B42" s="8"/>
      <c r="C42" s="8"/>
      <c r="D42" s="20"/>
      <c r="E42" s="35"/>
      <c r="F42" s="15"/>
      <c r="G42" s="15"/>
      <c r="H42" s="15"/>
      <c r="I42" s="15"/>
      <c r="J42" s="20"/>
      <c r="K42" s="8"/>
      <c r="L42" s="8"/>
    </row>
    <row r="43" spans="1:12" ht="15.75" thickBot="1">
      <c r="A43" s="8"/>
      <c r="B43" s="8"/>
      <c r="C43" s="8" t="s">
        <v>10</v>
      </c>
      <c r="D43" s="31">
        <f t="shared" ref="D43:I43" si="5">SUM(D40:D41)</f>
        <v>9744.67</v>
      </c>
      <c r="E43" s="44">
        <f t="shared" si="5"/>
        <v>73.850000000000009</v>
      </c>
      <c r="F43" s="30">
        <f t="shared" si="5"/>
        <v>0</v>
      </c>
      <c r="G43" s="30">
        <f t="shared" si="5"/>
        <v>0</v>
      </c>
      <c r="H43" s="30">
        <f t="shared" si="5"/>
        <v>0</v>
      </c>
      <c r="I43" s="30">
        <f t="shared" si="5"/>
        <v>0</v>
      </c>
      <c r="J43" s="31">
        <f>SUM(D43:I43)</f>
        <v>9818.52</v>
      </c>
      <c r="K43" s="8"/>
      <c r="L43" s="8"/>
    </row>
    <row r="44" spans="1:12" ht="15.75" thickTop="1">
      <c r="A44" s="8"/>
      <c r="B44" s="8"/>
      <c r="C44" s="8"/>
      <c r="D44" s="20"/>
      <c r="E44" s="20"/>
      <c r="F44" s="15"/>
      <c r="G44" s="15"/>
      <c r="H44" s="15"/>
      <c r="I44" s="15"/>
      <c r="J44" s="20"/>
      <c r="K44" s="8"/>
      <c r="L44" s="8"/>
    </row>
    <row r="45" spans="1:12">
      <c r="A45" s="8"/>
      <c r="B45" s="8"/>
      <c r="C45" s="8"/>
      <c r="D45" s="20"/>
      <c r="E45" s="20"/>
      <c r="F45" s="15"/>
      <c r="G45" s="15"/>
      <c r="H45" s="15"/>
      <c r="I45" s="15"/>
      <c r="J45" s="20"/>
      <c r="K45" s="8"/>
      <c r="L45" s="8"/>
    </row>
    <row r="46" spans="1:12" ht="15.75" thickBot="1">
      <c r="A46" s="8">
        <v>27</v>
      </c>
      <c r="B46" s="8" t="s">
        <v>20</v>
      </c>
      <c r="C46" s="8" t="s">
        <v>12</v>
      </c>
      <c r="D46" s="29">
        <v>17861.46</v>
      </c>
      <c r="E46" s="29">
        <v>446.89</v>
      </c>
      <c r="F46" s="28">
        <v>4.07</v>
      </c>
      <c r="G46" s="28">
        <v>0</v>
      </c>
      <c r="H46" s="28">
        <v>0</v>
      </c>
      <c r="I46" s="28">
        <v>0</v>
      </c>
      <c r="J46" s="29">
        <f>SUM(D46:I46)</f>
        <v>18312.419999999998</v>
      </c>
      <c r="K46" s="8"/>
      <c r="L46" s="8"/>
    </row>
    <row r="47" spans="1:12">
      <c r="A47" s="8"/>
      <c r="B47" s="8"/>
      <c r="C47" s="8"/>
      <c r="D47" s="20"/>
      <c r="E47" s="20"/>
      <c r="F47" s="15"/>
      <c r="G47" s="15"/>
      <c r="H47" s="15"/>
      <c r="I47" s="15"/>
      <c r="J47" s="20"/>
      <c r="K47" s="8"/>
      <c r="L47" s="8"/>
    </row>
    <row r="48" spans="1:12" ht="15.75" thickBot="1">
      <c r="A48" s="8"/>
      <c r="B48" s="8"/>
      <c r="C48" s="8" t="s">
        <v>10</v>
      </c>
      <c r="D48" s="31">
        <f t="shared" ref="D48:I48" si="6">SUM(D46:D47)</f>
        <v>17861.46</v>
      </c>
      <c r="E48" s="31">
        <f t="shared" si="6"/>
        <v>446.89</v>
      </c>
      <c r="F48" s="30">
        <f t="shared" si="6"/>
        <v>4.07</v>
      </c>
      <c r="G48" s="30">
        <f t="shared" si="6"/>
        <v>0</v>
      </c>
      <c r="H48" s="30">
        <f t="shared" si="6"/>
        <v>0</v>
      </c>
      <c r="I48" s="30">
        <f t="shared" si="6"/>
        <v>0</v>
      </c>
      <c r="J48" s="31">
        <f>SUM(D48:I48)</f>
        <v>18312.419999999998</v>
      </c>
      <c r="K48" s="8"/>
      <c r="L48" s="8"/>
    </row>
    <row r="49" spans="1:12" ht="15.75" thickTop="1">
      <c r="A49" s="8"/>
      <c r="B49" s="8"/>
      <c r="C49" s="8"/>
      <c r="D49" s="20"/>
      <c r="E49" s="20"/>
      <c r="F49" s="15"/>
      <c r="G49" s="8"/>
      <c r="H49" s="8"/>
      <c r="I49" s="8"/>
      <c r="J49" s="20"/>
      <c r="K49" s="8"/>
      <c r="L49" s="8"/>
    </row>
    <row r="50" spans="1:12">
      <c r="A50" s="8"/>
      <c r="B50" s="8"/>
      <c r="C50" s="8"/>
      <c r="D50" s="20"/>
      <c r="E50" s="20"/>
      <c r="F50" s="15"/>
      <c r="G50" s="8"/>
      <c r="H50" s="8"/>
      <c r="I50" s="8"/>
      <c r="J50" s="20"/>
      <c r="K50" s="8"/>
      <c r="L50" s="8"/>
    </row>
    <row r="51" spans="1:12">
      <c r="A51" s="8"/>
      <c r="B51" s="8"/>
      <c r="C51" s="8"/>
      <c r="D51" s="20"/>
      <c r="E51" s="20"/>
      <c r="F51" s="15"/>
      <c r="G51" s="15"/>
      <c r="H51" s="15"/>
      <c r="I51" s="15"/>
      <c r="J51" s="20"/>
      <c r="K51" s="8"/>
      <c r="L51" s="8"/>
    </row>
    <row r="52" spans="1:12">
      <c r="A52" s="8"/>
      <c r="B52" s="8"/>
      <c r="C52" s="8"/>
      <c r="D52" s="20"/>
      <c r="E52" s="20"/>
      <c r="F52" s="15"/>
      <c r="G52" s="15"/>
      <c r="H52" s="15"/>
      <c r="I52" s="15"/>
      <c r="J52" s="20"/>
      <c r="K52" s="8"/>
      <c r="L52" s="8"/>
    </row>
    <row r="53" spans="1:12">
      <c r="A53" s="8">
        <v>28</v>
      </c>
      <c r="B53" s="8" t="s">
        <v>21</v>
      </c>
      <c r="C53" s="8" t="s">
        <v>12</v>
      </c>
      <c r="D53" s="25">
        <v>5536.94</v>
      </c>
      <c r="E53" s="25">
        <v>144.59</v>
      </c>
      <c r="F53" s="24">
        <v>9.39</v>
      </c>
      <c r="G53" s="24">
        <v>0</v>
      </c>
      <c r="H53" s="24">
        <v>0</v>
      </c>
      <c r="I53" s="24">
        <v>0</v>
      </c>
      <c r="J53" s="25">
        <f>SUM(D53:I53)</f>
        <v>5690.92</v>
      </c>
      <c r="K53" s="8"/>
      <c r="L53" s="8"/>
    </row>
    <row r="54" spans="1:12" ht="15.75" hidden="1" thickBot="1">
      <c r="A54" s="8"/>
      <c r="B54" s="8"/>
      <c r="C54" s="8" t="s">
        <v>13</v>
      </c>
      <c r="D54" s="29"/>
      <c r="E54" s="29"/>
      <c r="F54" s="28"/>
      <c r="G54" s="28"/>
      <c r="H54" s="28"/>
      <c r="I54" s="28"/>
      <c r="J54" s="29">
        <f>SUM(D54:I54)</f>
        <v>0</v>
      </c>
      <c r="K54" s="8"/>
      <c r="L54" s="8"/>
    </row>
    <row r="55" spans="1:12">
      <c r="A55" s="8"/>
      <c r="B55" s="8"/>
      <c r="C55" s="8"/>
      <c r="D55" s="20"/>
      <c r="E55" s="20"/>
      <c r="F55" s="15"/>
      <c r="G55" s="15"/>
      <c r="H55" s="15"/>
      <c r="I55" s="15"/>
      <c r="J55" s="20"/>
      <c r="K55" s="8"/>
      <c r="L55" s="8"/>
    </row>
    <row r="56" spans="1:12" ht="15.75" thickBot="1">
      <c r="A56" s="8"/>
      <c r="B56" s="8"/>
      <c r="C56" s="8" t="s">
        <v>10</v>
      </c>
      <c r="D56" s="31">
        <f t="shared" ref="D56:I56" si="7">SUM(D53:D54)</f>
        <v>5536.94</v>
      </c>
      <c r="E56" s="31">
        <f t="shared" si="7"/>
        <v>144.59</v>
      </c>
      <c r="F56" s="30">
        <f t="shared" si="7"/>
        <v>9.39</v>
      </c>
      <c r="G56" s="30">
        <f t="shared" si="7"/>
        <v>0</v>
      </c>
      <c r="H56" s="30">
        <f t="shared" si="7"/>
        <v>0</v>
      </c>
      <c r="I56" s="30">
        <f t="shared" si="7"/>
        <v>0</v>
      </c>
      <c r="J56" s="31">
        <f>SUM(D56:I56)</f>
        <v>5690.92</v>
      </c>
      <c r="K56" s="8"/>
      <c r="L56" s="8"/>
    </row>
    <row r="57" spans="1:12" ht="15.75" thickTop="1">
      <c r="A57" s="8"/>
      <c r="B57" s="8"/>
      <c r="C57" s="8"/>
      <c r="D57" s="20"/>
      <c r="E57" s="20"/>
      <c r="F57" s="15"/>
      <c r="G57" s="15"/>
      <c r="H57" s="15"/>
      <c r="I57" s="15"/>
      <c r="J57" s="20"/>
      <c r="K57" s="8"/>
      <c r="L57" s="8"/>
    </row>
    <row r="58" spans="1:12">
      <c r="A58" s="8"/>
      <c r="B58" s="8"/>
      <c r="C58" s="8"/>
      <c r="D58" s="20"/>
      <c r="E58" s="20"/>
      <c r="F58" s="15"/>
      <c r="G58" s="15"/>
      <c r="H58" s="15"/>
      <c r="I58" s="15"/>
      <c r="J58" s="20"/>
      <c r="K58" s="8"/>
      <c r="L58" s="8"/>
    </row>
    <row r="59" spans="1:12">
      <c r="A59" s="8">
        <v>29</v>
      </c>
      <c r="B59" s="8" t="s">
        <v>22</v>
      </c>
      <c r="C59" s="8" t="s">
        <v>12</v>
      </c>
      <c r="D59" s="20">
        <v>16948.97</v>
      </c>
      <c r="E59" s="35">
        <v>0</v>
      </c>
      <c r="F59" s="15">
        <v>0</v>
      </c>
      <c r="G59" s="15">
        <v>0</v>
      </c>
      <c r="H59" s="15">
        <v>0</v>
      </c>
      <c r="I59" s="15">
        <v>0</v>
      </c>
      <c r="J59" s="20">
        <f>SUM(D59:I59)</f>
        <v>16948.97</v>
      </c>
      <c r="K59" s="8"/>
      <c r="L59" s="8"/>
    </row>
    <row r="60" spans="1:12">
      <c r="A60" s="8"/>
      <c r="B60" s="8"/>
      <c r="C60" s="8" t="s">
        <v>35</v>
      </c>
      <c r="D60" s="20">
        <v>940.93</v>
      </c>
      <c r="E60" s="35">
        <v>0</v>
      </c>
      <c r="F60" s="15">
        <v>0</v>
      </c>
      <c r="G60" s="15">
        <v>0</v>
      </c>
      <c r="H60" s="15">
        <v>0</v>
      </c>
      <c r="I60" s="15">
        <v>0</v>
      </c>
      <c r="J60" s="20">
        <f>SUM(D60:I60)</f>
        <v>940.93</v>
      </c>
      <c r="K60" s="8"/>
      <c r="L60" s="8"/>
    </row>
    <row r="61" spans="1:12">
      <c r="A61" s="8"/>
      <c r="B61" s="8"/>
      <c r="C61" s="8" t="s">
        <v>13</v>
      </c>
      <c r="D61" s="20">
        <v>461.21</v>
      </c>
      <c r="E61" s="35">
        <v>0</v>
      </c>
      <c r="F61" s="15">
        <v>0</v>
      </c>
      <c r="G61" s="15">
        <v>0</v>
      </c>
      <c r="H61" s="15">
        <v>0</v>
      </c>
      <c r="I61" s="15">
        <v>0</v>
      </c>
      <c r="J61" s="20">
        <f>SUM(D61:I61)</f>
        <v>461.21</v>
      </c>
      <c r="K61" s="8"/>
      <c r="L61" s="8"/>
    </row>
    <row r="62" spans="1:12">
      <c r="A62" s="8"/>
      <c r="B62" s="8"/>
      <c r="C62" s="8" t="s">
        <v>78</v>
      </c>
      <c r="D62" s="20">
        <v>2079.8200000000002</v>
      </c>
      <c r="E62" s="35">
        <v>0</v>
      </c>
      <c r="F62" s="15">
        <v>0</v>
      </c>
      <c r="G62" s="15">
        <v>0</v>
      </c>
      <c r="H62" s="15">
        <v>0</v>
      </c>
      <c r="I62" s="15">
        <v>0</v>
      </c>
      <c r="J62" s="20">
        <f>SUM(D62:I62)</f>
        <v>2079.8200000000002</v>
      </c>
      <c r="K62" s="8"/>
      <c r="L62" s="8"/>
    </row>
    <row r="63" spans="1:12" ht="15.75" thickBot="1">
      <c r="A63" s="8"/>
      <c r="B63" s="8"/>
      <c r="C63" s="38" t="s">
        <v>114</v>
      </c>
      <c r="D63" s="29">
        <v>12365.8</v>
      </c>
      <c r="E63" s="34">
        <v>0</v>
      </c>
      <c r="F63" s="28">
        <v>0</v>
      </c>
      <c r="G63" s="28">
        <v>0</v>
      </c>
      <c r="H63" s="28">
        <v>0</v>
      </c>
      <c r="I63" s="28">
        <v>0</v>
      </c>
      <c r="J63" s="29">
        <f>SUM(D63:I63)</f>
        <v>12365.8</v>
      </c>
      <c r="K63" s="8"/>
      <c r="L63" s="8"/>
    </row>
    <row r="64" spans="1:12">
      <c r="A64" s="8"/>
      <c r="B64" s="8"/>
      <c r="C64" s="8"/>
      <c r="D64" s="20"/>
      <c r="E64" s="35"/>
      <c r="F64" s="15"/>
      <c r="G64" s="15"/>
      <c r="H64" s="15"/>
      <c r="I64" s="15"/>
      <c r="J64" s="20"/>
      <c r="K64" s="8"/>
      <c r="L64" s="8"/>
    </row>
    <row r="65" spans="1:12" ht="15.75" thickBot="1">
      <c r="A65" s="8"/>
      <c r="B65" s="8"/>
      <c r="C65" s="8" t="s">
        <v>10</v>
      </c>
      <c r="D65" s="31">
        <f t="shared" ref="D65:I65" si="8">SUM(D59:D63)</f>
        <v>32796.729999999996</v>
      </c>
      <c r="E65" s="44">
        <f t="shared" si="8"/>
        <v>0</v>
      </c>
      <c r="F65" s="30">
        <f t="shared" si="8"/>
        <v>0</v>
      </c>
      <c r="G65" s="30">
        <f t="shared" si="8"/>
        <v>0</v>
      </c>
      <c r="H65" s="30">
        <f t="shared" si="8"/>
        <v>0</v>
      </c>
      <c r="I65" s="30">
        <f t="shared" si="8"/>
        <v>0</v>
      </c>
      <c r="J65" s="31">
        <f>SUM(D65:I65)</f>
        <v>32796.729999999996</v>
      </c>
      <c r="K65" s="8"/>
      <c r="L65" s="8"/>
    </row>
    <row r="66" spans="1:12" ht="15.75" thickTop="1">
      <c r="A66" s="8"/>
      <c r="B66" s="8"/>
      <c r="C66" s="8"/>
      <c r="D66" s="20"/>
      <c r="E66" s="20"/>
      <c r="F66" s="15"/>
      <c r="G66" s="15"/>
      <c r="H66" s="15"/>
      <c r="I66" s="15"/>
      <c r="J66" s="20"/>
      <c r="K66" s="8"/>
      <c r="L66" s="8"/>
    </row>
    <row r="67" spans="1:12">
      <c r="A67" s="8"/>
      <c r="B67" s="8"/>
      <c r="C67" s="8"/>
      <c r="D67" s="20"/>
      <c r="E67" s="20"/>
      <c r="F67" s="15"/>
      <c r="G67" s="15"/>
      <c r="H67" s="15"/>
      <c r="I67" s="15"/>
      <c r="J67" s="20"/>
      <c r="K67" s="8"/>
      <c r="L67" s="8"/>
    </row>
    <row r="68" spans="1:12">
      <c r="A68" s="8">
        <v>30</v>
      </c>
      <c r="B68" s="8" t="s">
        <v>23</v>
      </c>
      <c r="C68" s="8" t="s">
        <v>12</v>
      </c>
      <c r="D68" s="25">
        <v>7275.34</v>
      </c>
      <c r="E68" s="25">
        <v>69.34</v>
      </c>
      <c r="F68" s="24">
        <v>57.46</v>
      </c>
      <c r="G68" s="24">
        <v>0</v>
      </c>
      <c r="H68" s="24">
        <v>0</v>
      </c>
      <c r="I68" s="24">
        <v>0</v>
      </c>
      <c r="J68" s="25">
        <f>SUM(D68:I68)</f>
        <v>7402.14</v>
      </c>
      <c r="K68" s="8"/>
      <c r="L68" s="8"/>
    </row>
    <row r="69" spans="1:12" ht="15.75" hidden="1" thickBot="1">
      <c r="A69" s="8"/>
      <c r="B69" s="8"/>
      <c r="C69" s="8" t="s">
        <v>13</v>
      </c>
      <c r="D69" s="29"/>
      <c r="E69" s="29"/>
      <c r="F69" s="28"/>
      <c r="G69" s="28"/>
      <c r="H69" s="28"/>
      <c r="I69" s="28"/>
      <c r="J69" s="29"/>
      <c r="K69" s="8"/>
      <c r="L69" s="8"/>
    </row>
    <row r="70" spans="1:12">
      <c r="A70" s="8"/>
      <c r="B70" s="8"/>
      <c r="C70" s="8"/>
      <c r="D70" s="20"/>
      <c r="E70" s="20"/>
      <c r="F70" s="15"/>
      <c r="G70" s="15"/>
      <c r="H70" s="15"/>
      <c r="I70" s="15"/>
      <c r="J70" s="20"/>
      <c r="K70" s="8"/>
      <c r="L70" s="8"/>
    </row>
    <row r="71" spans="1:12" ht="15.75" thickBot="1">
      <c r="A71" s="8"/>
      <c r="B71" s="8"/>
      <c r="C71" s="15" t="s">
        <v>10</v>
      </c>
      <c r="D71" s="31">
        <f t="shared" ref="D71:I71" si="9">SUM(D68:D69)</f>
        <v>7275.34</v>
      </c>
      <c r="E71" s="31">
        <f t="shared" si="9"/>
        <v>69.34</v>
      </c>
      <c r="F71" s="30">
        <f t="shared" si="9"/>
        <v>57.46</v>
      </c>
      <c r="G71" s="30">
        <f t="shared" si="9"/>
        <v>0</v>
      </c>
      <c r="H71" s="30">
        <f t="shared" si="9"/>
        <v>0</v>
      </c>
      <c r="I71" s="30">
        <f t="shared" si="9"/>
        <v>0</v>
      </c>
      <c r="J71" s="31">
        <f>SUM(D71:I71)</f>
        <v>7402.14</v>
      </c>
      <c r="K71" s="8"/>
      <c r="L71" s="8"/>
    </row>
    <row r="72" spans="1:12" ht="15.75" thickTop="1">
      <c r="A72" s="8"/>
      <c r="B72" s="8"/>
      <c r="C72" s="8"/>
      <c r="D72" s="20"/>
      <c r="E72" s="20"/>
      <c r="F72" s="15"/>
      <c r="G72" s="15"/>
      <c r="H72" s="15"/>
      <c r="I72" s="15"/>
      <c r="J72" s="20"/>
      <c r="K72" s="8"/>
      <c r="L72" s="8"/>
    </row>
    <row r="73" spans="1:12">
      <c r="A73" s="8"/>
      <c r="B73" s="8"/>
      <c r="C73" s="8"/>
      <c r="D73" s="20"/>
      <c r="E73" s="20"/>
      <c r="F73" s="15"/>
      <c r="G73" s="15"/>
      <c r="H73" s="15"/>
      <c r="I73" s="15"/>
      <c r="J73" s="20"/>
      <c r="K73" s="8"/>
      <c r="L73" s="8"/>
    </row>
    <row r="74" spans="1:12">
      <c r="A74" s="8">
        <v>31</v>
      </c>
      <c r="B74" s="8" t="s">
        <v>24</v>
      </c>
      <c r="C74" s="8" t="s">
        <v>12</v>
      </c>
      <c r="D74" s="20">
        <v>4302.4399999999996</v>
      </c>
      <c r="E74" s="20">
        <v>24.2</v>
      </c>
      <c r="F74" s="15">
        <v>0</v>
      </c>
      <c r="G74" s="15">
        <v>0</v>
      </c>
      <c r="H74" s="15">
        <v>0</v>
      </c>
      <c r="I74" s="15">
        <v>0</v>
      </c>
      <c r="J74" s="20">
        <f>SUM(D74:I74)</f>
        <v>4326.6399999999994</v>
      </c>
      <c r="K74" s="8"/>
      <c r="L74" s="8"/>
    </row>
    <row r="75" spans="1:12" ht="15.75" thickBot="1">
      <c r="A75" s="8"/>
      <c r="B75" s="8"/>
      <c r="C75" s="8" t="s">
        <v>13</v>
      </c>
      <c r="D75" s="29">
        <v>108.51</v>
      </c>
      <c r="E75" s="29">
        <v>1.44</v>
      </c>
      <c r="F75" s="28">
        <v>0</v>
      </c>
      <c r="G75" s="28">
        <v>0</v>
      </c>
      <c r="H75" s="28">
        <v>0</v>
      </c>
      <c r="I75" s="28">
        <v>0</v>
      </c>
      <c r="J75" s="29">
        <f>SUM(D75:I75)</f>
        <v>109.95</v>
      </c>
      <c r="K75" s="8"/>
      <c r="L75" s="8"/>
    </row>
    <row r="76" spans="1:12">
      <c r="A76" s="8"/>
      <c r="B76" s="8"/>
      <c r="C76" s="8"/>
      <c r="D76" s="20"/>
      <c r="E76" s="20"/>
      <c r="F76" s="15"/>
      <c r="G76" s="15"/>
      <c r="H76" s="15"/>
      <c r="I76" s="15"/>
      <c r="J76" s="20"/>
      <c r="K76" s="8"/>
      <c r="L76" s="8"/>
    </row>
    <row r="77" spans="1:12" ht="15.75" thickBot="1">
      <c r="A77" s="8"/>
      <c r="B77" s="8"/>
      <c r="C77" s="8" t="s">
        <v>10</v>
      </c>
      <c r="D77" s="31">
        <f t="shared" ref="D77:I77" si="10">SUM(D74:D75)</f>
        <v>4410.95</v>
      </c>
      <c r="E77" s="31">
        <f t="shared" si="10"/>
        <v>25.64</v>
      </c>
      <c r="F77" s="30">
        <f t="shared" si="10"/>
        <v>0</v>
      </c>
      <c r="G77" s="30">
        <f t="shared" si="10"/>
        <v>0</v>
      </c>
      <c r="H77" s="30">
        <f t="shared" si="10"/>
        <v>0</v>
      </c>
      <c r="I77" s="30">
        <f t="shared" si="10"/>
        <v>0</v>
      </c>
      <c r="J77" s="31">
        <f>SUM(D77:I77)</f>
        <v>4436.59</v>
      </c>
      <c r="K77" s="8"/>
      <c r="L77" s="8"/>
    </row>
    <row r="78" spans="1:12" ht="15.75" thickTop="1">
      <c r="A78" s="8"/>
      <c r="B78" s="8"/>
      <c r="C78" s="8"/>
      <c r="D78" s="20"/>
      <c r="E78" s="20"/>
      <c r="F78" s="15"/>
      <c r="G78" s="15"/>
      <c r="H78" s="15"/>
      <c r="I78" s="15"/>
      <c r="J78" s="20"/>
      <c r="K78" s="8"/>
      <c r="L78" s="8"/>
    </row>
    <row r="79" spans="1:12">
      <c r="A79" s="8"/>
      <c r="B79" s="8"/>
      <c r="C79" s="8"/>
      <c r="D79" s="20"/>
      <c r="E79" s="20"/>
      <c r="F79" s="15"/>
      <c r="G79" s="15"/>
      <c r="H79" s="15"/>
      <c r="I79" s="15"/>
      <c r="J79" s="20"/>
      <c r="K79" s="8"/>
      <c r="L79" s="8"/>
    </row>
    <row r="80" spans="1:12">
      <c r="A80" s="8">
        <v>32</v>
      </c>
      <c r="B80" s="8" t="s">
        <v>25</v>
      </c>
      <c r="C80" s="8" t="s">
        <v>12</v>
      </c>
      <c r="D80" s="20">
        <v>16209.69</v>
      </c>
      <c r="E80" s="20">
        <v>323.48</v>
      </c>
      <c r="F80" s="15">
        <v>87.02</v>
      </c>
      <c r="G80" s="15">
        <v>0</v>
      </c>
      <c r="H80" s="15">
        <v>0</v>
      </c>
      <c r="I80" s="15">
        <v>0</v>
      </c>
      <c r="J80" s="20">
        <f>SUM(D80:I80)</f>
        <v>16620.190000000002</v>
      </c>
      <c r="K80" s="8"/>
      <c r="L80" s="8"/>
    </row>
    <row r="81" spans="1:12">
      <c r="A81" s="8"/>
      <c r="B81" s="8"/>
      <c r="C81" s="8" t="s">
        <v>13</v>
      </c>
      <c r="D81" s="25">
        <v>298.25</v>
      </c>
      <c r="E81" s="25">
        <v>5.1100000000000003</v>
      </c>
      <c r="F81" s="24">
        <v>1.41</v>
      </c>
      <c r="G81" s="24">
        <v>0</v>
      </c>
      <c r="H81" s="24">
        <v>0</v>
      </c>
      <c r="I81" s="24">
        <v>0</v>
      </c>
      <c r="J81" s="25">
        <f>SUM(D81:I81)</f>
        <v>304.77000000000004</v>
      </c>
      <c r="K81" s="8"/>
      <c r="L81" s="8"/>
    </row>
    <row r="82" spans="1:12" hidden="1">
      <c r="A82" s="8"/>
      <c r="B82" s="8"/>
      <c r="C82" s="8" t="s">
        <v>73</v>
      </c>
      <c r="D82" s="20"/>
      <c r="E82" s="20"/>
      <c r="F82" s="26"/>
      <c r="G82" s="8"/>
      <c r="H82" s="26"/>
      <c r="I82" s="8"/>
      <c r="J82" s="20">
        <f>SUM(D82:I82)</f>
        <v>0</v>
      </c>
      <c r="K82" s="8"/>
      <c r="L82" s="8"/>
    </row>
    <row r="83" spans="1:12" ht="15.75" hidden="1" thickBot="1">
      <c r="A83" s="8"/>
      <c r="B83" s="8"/>
      <c r="C83" s="8" t="s">
        <v>78</v>
      </c>
      <c r="D83" s="29"/>
      <c r="E83" s="29"/>
      <c r="F83" s="33"/>
      <c r="G83" s="27"/>
      <c r="H83" s="27"/>
      <c r="I83" s="27"/>
      <c r="J83" s="29">
        <f>SUM(D83:I83)</f>
        <v>0</v>
      </c>
      <c r="K83" s="8"/>
      <c r="L83" s="8"/>
    </row>
    <row r="84" spans="1:12">
      <c r="A84" s="8"/>
      <c r="B84" s="8"/>
      <c r="C84" s="8"/>
      <c r="D84" s="20"/>
      <c r="E84" s="20"/>
      <c r="F84" s="15"/>
      <c r="G84" s="8"/>
      <c r="H84" s="8"/>
      <c r="I84" s="8"/>
      <c r="J84" s="20"/>
      <c r="K84" s="8"/>
      <c r="L84" s="8"/>
    </row>
    <row r="85" spans="1:12" ht="15.75" thickBot="1">
      <c r="A85" s="8"/>
      <c r="B85" s="8"/>
      <c r="C85" s="8" t="s">
        <v>10</v>
      </c>
      <c r="D85" s="31">
        <f t="shared" ref="D85:I85" si="11">SUM(D80:D83)</f>
        <v>16507.940000000002</v>
      </c>
      <c r="E85" s="31">
        <f t="shared" si="11"/>
        <v>328.59000000000003</v>
      </c>
      <c r="F85" s="30">
        <f t="shared" si="11"/>
        <v>88.429999999999993</v>
      </c>
      <c r="G85" s="30">
        <f t="shared" si="11"/>
        <v>0</v>
      </c>
      <c r="H85" s="30">
        <f t="shared" si="11"/>
        <v>0</v>
      </c>
      <c r="I85" s="30">
        <f t="shared" si="11"/>
        <v>0</v>
      </c>
      <c r="J85" s="31">
        <f>SUM(D85:I85)</f>
        <v>16924.960000000003</v>
      </c>
      <c r="K85" s="8"/>
      <c r="L85" s="8"/>
    </row>
    <row r="86" spans="1:12" ht="15.75" thickTop="1">
      <c r="A86" s="8"/>
      <c r="B86" s="8"/>
      <c r="C86" s="8"/>
      <c r="D86" s="20"/>
      <c r="E86" s="20"/>
      <c r="F86" s="15"/>
      <c r="G86" s="15"/>
      <c r="H86" s="15"/>
      <c r="I86" s="15"/>
      <c r="J86" s="20"/>
      <c r="K86" s="8"/>
      <c r="L86" s="8"/>
    </row>
    <row r="87" spans="1:12">
      <c r="A87" s="8"/>
      <c r="B87" s="8"/>
      <c r="C87" s="8"/>
      <c r="D87" s="20"/>
      <c r="E87" s="20"/>
      <c r="F87" s="15"/>
      <c r="G87" s="15"/>
      <c r="H87" s="15"/>
      <c r="I87" s="15"/>
      <c r="J87" s="20"/>
      <c r="K87" s="8"/>
      <c r="L87" s="8"/>
    </row>
    <row r="88" spans="1:12">
      <c r="A88" s="8">
        <v>33</v>
      </c>
      <c r="B88" s="8" t="s">
        <v>26</v>
      </c>
      <c r="C88" s="8" t="s">
        <v>12</v>
      </c>
      <c r="D88" s="20">
        <v>14701.48</v>
      </c>
      <c r="E88" s="20">
        <v>195.73</v>
      </c>
      <c r="F88" s="15">
        <v>4.6500000000000004</v>
      </c>
      <c r="G88" s="15">
        <v>0</v>
      </c>
      <c r="H88" s="15">
        <v>0</v>
      </c>
      <c r="I88" s="15">
        <v>0</v>
      </c>
      <c r="J88" s="20">
        <f>SUM(D88:I88)</f>
        <v>14901.859999999999</v>
      </c>
      <c r="K88" s="8"/>
      <c r="L88" s="8"/>
    </row>
    <row r="89" spans="1:12" ht="15.75" thickBot="1">
      <c r="A89" s="8"/>
      <c r="B89" s="8"/>
      <c r="C89" s="8" t="s">
        <v>13</v>
      </c>
      <c r="D89" s="29">
        <v>240.92</v>
      </c>
      <c r="E89" s="29">
        <v>3.14</v>
      </c>
      <c r="F89" s="28">
        <v>7.0000000000000007E-2</v>
      </c>
      <c r="G89" s="28">
        <v>0</v>
      </c>
      <c r="H89" s="28">
        <v>0</v>
      </c>
      <c r="I89" s="28">
        <v>0</v>
      </c>
      <c r="J89" s="29">
        <f>SUM(D89:I89)</f>
        <v>244.12999999999997</v>
      </c>
      <c r="K89" s="8"/>
      <c r="L89" s="8"/>
    </row>
    <row r="90" spans="1:12">
      <c r="A90" s="8"/>
      <c r="B90" s="8"/>
      <c r="C90" s="8"/>
      <c r="D90" s="20"/>
      <c r="E90" s="20"/>
      <c r="F90" s="15"/>
      <c r="G90" s="15"/>
      <c r="H90" s="15"/>
      <c r="I90" s="15"/>
      <c r="J90" s="20"/>
      <c r="K90" s="8"/>
      <c r="L90" s="8"/>
    </row>
    <row r="91" spans="1:12" ht="15.75" thickBot="1">
      <c r="A91" s="8"/>
      <c r="B91" s="8"/>
      <c r="C91" s="8" t="s">
        <v>10</v>
      </c>
      <c r="D91" s="31">
        <f t="shared" ref="D91:I91" si="12">SUM(D88:D89)</f>
        <v>14942.4</v>
      </c>
      <c r="E91" s="31">
        <f t="shared" si="12"/>
        <v>198.86999999999998</v>
      </c>
      <c r="F91" s="30">
        <f t="shared" si="12"/>
        <v>4.7200000000000006</v>
      </c>
      <c r="G91" s="30">
        <f t="shared" si="12"/>
        <v>0</v>
      </c>
      <c r="H91" s="30">
        <f t="shared" si="12"/>
        <v>0</v>
      </c>
      <c r="I91" s="30">
        <f t="shared" si="12"/>
        <v>0</v>
      </c>
      <c r="J91" s="31">
        <f>SUM(D91:I91)</f>
        <v>15145.99</v>
      </c>
      <c r="K91" s="8"/>
      <c r="L91" s="8"/>
    </row>
    <row r="92" spans="1:12" ht="15.75" thickTop="1">
      <c r="A92" s="8"/>
      <c r="B92" s="8"/>
      <c r="C92" s="8"/>
      <c r="D92" s="20"/>
      <c r="E92" s="20"/>
      <c r="F92" s="15"/>
      <c r="G92" s="15"/>
      <c r="H92" s="15"/>
      <c r="I92" s="15"/>
      <c r="J92" s="20"/>
      <c r="K92" s="8"/>
      <c r="L92" s="8"/>
    </row>
    <row r="93" spans="1:12">
      <c r="A93" s="8"/>
      <c r="B93" s="8"/>
      <c r="C93" s="8"/>
      <c r="D93" s="20"/>
      <c r="E93" s="20"/>
      <c r="F93" s="15"/>
      <c r="G93" s="15"/>
      <c r="H93" s="15"/>
      <c r="I93" s="15"/>
      <c r="J93" s="20"/>
      <c r="K93" s="8"/>
      <c r="L93" s="8"/>
    </row>
    <row r="94" spans="1:12">
      <c r="A94" s="8">
        <v>34</v>
      </c>
      <c r="B94" s="8" t="s">
        <v>27</v>
      </c>
      <c r="C94" s="8" t="s">
        <v>12</v>
      </c>
      <c r="D94" s="20">
        <v>21409.1</v>
      </c>
      <c r="E94" s="20">
        <v>922.03</v>
      </c>
      <c r="F94" s="15">
        <v>97.24</v>
      </c>
      <c r="G94" s="15">
        <v>0</v>
      </c>
      <c r="H94" s="15">
        <v>0</v>
      </c>
      <c r="I94" s="15">
        <v>0</v>
      </c>
      <c r="J94" s="20">
        <f>SUM(D94:I94)</f>
        <v>22428.37</v>
      </c>
      <c r="K94" s="8"/>
      <c r="L94" s="8"/>
    </row>
    <row r="95" spans="1:12">
      <c r="A95" s="8"/>
      <c r="B95" s="8"/>
      <c r="C95" s="8" t="s">
        <v>35</v>
      </c>
      <c r="D95" s="20">
        <v>594.59</v>
      </c>
      <c r="E95" s="20">
        <v>25.94</v>
      </c>
      <c r="F95" s="15">
        <v>3.78</v>
      </c>
      <c r="G95" s="15">
        <v>0</v>
      </c>
      <c r="H95" s="15">
        <v>0</v>
      </c>
      <c r="I95" s="15">
        <v>0</v>
      </c>
      <c r="J95" s="20">
        <f>SUM(D95:I95)</f>
        <v>624.31000000000006</v>
      </c>
      <c r="K95" s="8"/>
      <c r="L95" s="8"/>
    </row>
    <row r="96" spans="1:12">
      <c r="A96" s="8"/>
      <c r="B96" s="8"/>
      <c r="C96" s="8" t="s">
        <v>13</v>
      </c>
      <c r="D96" s="20">
        <v>255.72</v>
      </c>
      <c r="E96" s="20">
        <v>12.18</v>
      </c>
      <c r="F96" s="15">
        <v>1.93</v>
      </c>
      <c r="G96" s="15">
        <v>0</v>
      </c>
      <c r="H96" s="15">
        <v>0</v>
      </c>
      <c r="I96" s="15">
        <v>0</v>
      </c>
      <c r="J96" s="20">
        <f>SUM(D96:I96)</f>
        <v>269.83</v>
      </c>
      <c r="K96" s="8"/>
      <c r="L96" s="8"/>
    </row>
    <row r="97" spans="1:12" ht="15.75" thickBot="1">
      <c r="A97" s="8"/>
      <c r="B97" s="8"/>
      <c r="C97" s="8" t="s">
        <v>78</v>
      </c>
      <c r="D97" s="29">
        <v>1480.93</v>
      </c>
      <c r="E97" s="29">
        <v>67.739999999999995</v>
      </c>
      <c r="F97" s="28">
        <v>8.08</v>
      </c>
      <c r="G97" s="28">
        <v>0</v>
      </c>
      <c r="H97" s="28">
        <v>0</v>
      </c>
      <c r="I97" s="28">
        <v>0</v>
      </c>
      <c r="J97" s="29">
        <f>SUM(D97:I97)</f>
        <v>1556.75</v>
      </c>
      <c r="K97" s="8"/>
      <c r="L97" s="8"/>
    </row>
    <row r="98" spans="1:12">
      <c r="A98" s="8"/>
      <c r="B98" s="8"/>
      <c r="C98" s="8"/>
      <c r="D98" s="20"/>
      <c r="E98" s="20"/>
      <c r="F98" s="15"/>
      <c r="G98" s="15"/>
      <c r="H98" s="15"/>
      <c r="I98" s="15"/>
      <c r="J98" s="20"/>
      <c r="K98" s="8"/>
      <c r="L98" s="8"/>
    </row>
    <row r="99" spans="1:12" ht="15.75" thickBot="1">
      <c r="A99" s="8"/>
      <c r="B99" s="8"/>
      <c r="C99" s="8" t="s">
        <v>10</v>
      </c>
      <c r="D99" s="31">
        <f t="shared" ref="D99:I99" si="13">SUM(D94:D98)</f>
        <v>23740.34</v>
      </c>
      <c r="E99" s="31">
        <f t="shared" si="13"/>
        <v>1027.8899999999999</v>
      </c>
      <c r="F99" s="30">
        <f t="shared" si="13"/>
        <v>111.03</v>
      </c>
      <c r="G99" s="30">
        <f t="shared" si="13"/>
        <v>0</v>
      </c>
      <c r="H99" s="30">
        <f t="shared" si="13"/>
        <v>0</v>
      </c>
      <c r="I99" s="30">
        <f t="shared" si="13"/>
        <v>0</v>
      </c>
      <c r="J99" s="31">
        <f>SUM(D99:I99)</f>
        <v>24879.26</v>
      </c>
      <c r="K99" s="8"/>
      <c r="L99" s="8"/>
    </row>
    <row r="100" spans="1:12" ht="15.75" thickTop="1">
      <c r="A100" s="8"/>
      <c r="B100" s="8"/>
      <c r="C100" s="8"/>
      <c r="D100" s="20"/>
      <c r="E100" s="20"/>
      <c r="F100" s="15"/>
      <c r="G100" s="15"/>
      <c r="H100" s="15"/>
      <c r="I100" s="15"/>
      <c r="J100" s="20"/>
      <c r="K100" s="8"/>
      <c r="L100" s="8"/>
    </row>
    <row r="101" spans="1:12">
      <c r="A101" s="8"/>
      <c r="B101" s="8"/>
      <c r="C101" s="8"/>
      <c r="D101" s="20"/>
      <c r="E101" s="20"/>
      <c r="F101" s="15"/>
      <c r="G101" s="15"/>
      <c r="H101" s="15"/>
      <c r="I101" s="15"/>
      <c r="J101" s="20"/>
      <c r="K101" s="8"/>
      <c r="L101" s="8"/>
    </row>
    <row r="102" spans="1:12" ht="15.75" thickBot="1">
      <c r="A102" s="8">
        <v>35</v>
      </c>
      <c r="B102" s="8" t="s">
        <v>28</v>
      </c>
      <c r="C102" s="8" t="s">
        <v>12</v>
      </c>
      <c r="D102" s="29">
        <v>9301.34</v>
      </c>
      <c r="E102" s="29">
        <v>2.93</v>
      </c>
      <c r="F102" s="28">
        <v>0</v>
      </c>
      <c r="G102" s="28">
        <v>0</v>
      </c>
      <c r="H102" s="28">
        <v>0</v>
      </c>
      <c r="I102" s="28">
        <v>0</v>
      </c>
      <c r="J102" s="29">
        <f>SUM(D102:I102)</f>
        <v>9304.27</v>
      </c>
      <c r="K102" s="8"/>
      <c r="L102" s="8"/>
    </row>
    <row r="103" spans="1:12">
      <c r="A103" s="8"/>
      <c r="B103" s="8"/>
      <c r="C103" s="8"/>
      <c r="D103" s="20"/>
      <c r="E103" s="20"/>
      <c r="F103" s="15"/>
      <c r="G103" s="15"/>
      <c r="H103" s="15"/>
      <c r="I103" s="15"/>
      <c r="J103" s="20"/>
      <c r="K103" s="8"/>
      <c r="L103" s="8"/>
    </row>
    <row r="104" spans="1:12" ht="15.75" thickBot="1">
      <c r="A104" s="8"/>
      <c r="B104" s="8"/>
      <c r="C104" s="8" t="s">
        <v>10</v>
      </c>
      <c r="D104" s="31">
        <f t="shared" ref="D104:I104" si="14">SUM(D102:D103)</f>
        <v>9301.34</v>
      </c>
      <c r="E104" s="31">
        <f t="shared" si="14"/>
        <v>2.93</v>
      </c>
      <c r="F104" s="30">
        <f t="shared" si="14"/>
        <v>0</v>
      </c>
      <c r="G104" s="30">
        <f t="shared" si="14"/>
        <v>0</v>
      </c>
      <c r="H104" s="30">
        <f t="shared" si="14"/>
        <v>0</v>
      </c>
      <c r="I104" s="30">
        <f t="shared" si="14"/>
        <v>0</v>
      </c>
      <c r="J104" s="31">
        <f>SUM(D104:I104)</f>
        <v>9304.27</v>
      </c>
      <c r="K104" s="8"/>
      <c r="L104" s="8"/>
    </row>
    <row r="105" spans="1:12" ht="15.75" thickTop="1">
      <c r="A105" s="8"/>
      <c r="B105" s="8"/>
      <c r="C105" s="8"/>
      <c r="D105" s="20"/>
      <c r="E105" s="20"/>
      <c r="F105" s="15"/>
      <c r="G105" s="15"/>
      <c r="H105" s="15"/>
      <c r="I105" s="15"/>
      <c r="J105" s="20"/>
      <c r="K105" s="8"/>
      <c r="L105" s="8"/>
    </row>
    <row r="106" spans="1:12">
      <c r="A106" s="8"/>
      <c r="B106" s="8"/>
      <c r="C106" s="8"/>
      <c r="D106" s="20"/>
      <c r="E106" s="20"/>
      <c r="F106" s="15"/>
      <c r="G106" s="15"/>
      <c r="H106" s="15"/>
      <c r="I106" s="15"/>
      <c r="J106" s="20"/>
      <c r="K106" s="8"/>
      <c r="L106" s="8"/>
    </row>
    <row r="107" spans="1:12">
      <c r="A107" s="8">
        <v>36</v>
      </c>
      <c r="B107" s="8" t="s">
        <v>29</v>
      </c>
      <c r="C107" s="8" t="s">
        <v>12</v>
      </c>
      <c r="D107" s="20">
        <v>7963.21</v>
      </c>
      <c r="E107" s="20">
        <v>87.84</v>
      </c>
      <c r="F107" s="15">
        <v>74.39</v>
      </c>
      <c r="G107" s="15">
        <v>0</v>
      </c>
      <c r="H107" s="15">
        <v>0</v>
      </c>
      <c r="I107" s="15">
        <v>0</v>
      </c>
      <c r="J107" s="20">
        <f>SUM(D107:I107)</f>
        <v>8125.4400000000005</v>
      </c>
      <c r="K107" s="8"/>
      <c r="L107" s="8"/>
    </row>
    <row r="108" spans="1:12">
      <c r="A108" s="8"/>
      <c r="B108" s="8"/>
      <c r="C108" s="38" t="s">
        <v>13</v>
      </c>
      <c r="D108" s="20">
        <v>177.07</v>
      </c>
      <c r="E108" s="20">
        <v>1.87</v>
      </c>
      <c r="F108" s="15">
        <v>1.23</v>
      </c>
      <c r="G108" s="15">
        <v>0</v>
      </c>
      <c r="H108" s="15">
        <v>0</v>
      </c>
      <c r="I108" s="15">
        <v>0</v>
      </c>
      <c r="J108" s="20">
        <f>SUM(D108:I108)</f>
        <v>180.17</v>
      </c>
      <c r="K108" s="8"/>
      <c r="L108" s="8"/>
    </row>
    <row r="109" spans="1:12" ht="15.75" thickBot="1">
      <c r="A109" s="8"/>
      <c r="B109" s="8"/>
      <c r="C109" s="38" t="s">
        <v>109</v>
      </c>
      <c r="D109" s="29">
        <v>725.56</v>
      </c>
      <c r="E109" s="29">
        <v>8.18</v>
      </c>
      <c r="F109" s="28">
        <v>5.98</v>
      </c>
      <c r="G109" s="28">
        <v>0</v>
      </c>
      <c r="H109" s="28">
        <v>0</v>
      </c>
      <c r="I109" s="28">
        <v>0</v>
      </c>
      <c r="J109" s="29">
        <f>SUM(D109:I109)</f>
        <v>739.71999999999991</v>
      </c>
      <c r="K109" s="8"/>
      <c r="L109" s="8"/>
    </row>
    <row r="110" spans="1:12">
      <c r="A110" s="8"/>
      <c r="B110" s="8"/>
      <c r="C110" s="8"/>
      <c r="D110" s="20"/>
      <c r="E110" s="20"/>
      <c r="F110" s="15"/>
      <c r="G110" s="15"/>
      <c r="H110" s="15"/>
      <c r="I110" s="15"/>
      <c r="J110" s="20"/>
      <c r="K110" s="8"/>
      <c r="L110" s="8"/>
    </row>
    <row r="111" spans="1:12" ht="15.75" thickBot="1">
      <c r="A111" s="8"/>
      <c r="B111" s="8"/>
      <c r="C111" s="8" t="s">
        <v>10</v>
      </c>
      <c r="D111" s="31">
        <f t="shared" ref="D111:I111" si="15">SUM(D107:D109)</f>
        <v>8865.84</v>
      </c>
      <c r="E111" s="31">
        <f t="shared" si="15"/>
        <v>97.890000000000015</v>
      </c>
      <c r="F111" s="30">
        <f t="shared" si="15"/>
        <v>81.600000000000009</v>
      </c>
      <c r="G111" s="30">
        <f t="shared" si="15"/>
        <v>0</v>
      </c>
      <c r="H111" s="30">
        <f t="shared" si="15"/>
        <v>0</v>
      </c>
      <c r="I111" s="30">
        <f t="shared" si="15"/>
        <v>0</v>
      </c>
      <c r="J111" s="31">
        <f>SUM(D111:I111)</f>
        <v>9045.33</v>
      </c>
      <c r="K111" s="8"/>
      <c r="L111" s="8"/>
    </row>
    <row r="112" spans="1:12" ht="15.75" thickTop="1">
      <c r="A112" s="8"/>
      <c r="B112" s="8"/>
      <c r="C112" s="8"/>
      <c r="D112" s="20"/>
      <c r="E112" s="20"/>
      <c r="F112" s="15"/>
      <c r="G112" s="15"/>
      <c r="H112" s="15"/>
      <c r="I112" s="15"/>
      <c r="J112" s="20"/>
      <c r="K112" s="8"/>
      <c r="L112" s="8"/>
    </row>
    <row r="113" spans="1:12">
      <c r="A113" s="8"/>
      <c r="B113" s="8"/>
      <c r="C113" s="8"/>
      <c r="D113" s="20"/>
      <c r="E113" s="20"/>
      <c r="F113" s="15"/>
      <c r="G113" s="15"/>
      <c r="H113" s="15"/>
      <c r="I113" s="15"/>
      <c r="J113" s="20"/>
      <c r="K113" s="8"/>
      <c r="L113" s="8"/>
    </row>
    <row r="114" spans="1:12" ht="15.75" thickBot="1">
      <c r="A114" s="8">
        <v>37</v>
      </c>
      <c r="B114" s="8" t="s">
        <v>30</v>
      </c>
      <c r="C114" s="8" t="s">
        <v>12</v>
      </c>
      <c r="D114" s="29">
        <v>16782.8</v>
      </c>
      <c r="E114" s="29">
        <v>88.45</v>
      </c>
      <c r="F114" s="28">
        <v>0</v>
      </c>
      <c r="G114" s="28">
        <v>0</v>
      </c>
      <c r="H114" s="28">
        <v>0</v>
      </c>
      <c r="I114" s="28">
        <v>0</v>
      </c>
      <c r="J114" s="29">
        <f>SUM(D114:I114)</f>
        <v>16871.25</v>
      </c>
      <c r="K114" s="8"/>
      <c r="L114" s="8"/>
    </row>
    <row r="115" spans="1:12">
      <c r="A115" s="8"/>
      <c r="B115" s="8"/>
      <c r="C115" s="8"/>
      <c r="D115" s="20"/>
      <c r="E115" s="20"/>
      <c r="F115" s="15"/>
      <c r="G115" s="15"/>
      <c r="H115" s="15"/>
      <c r="I115" s="15"/>
      <c r="J115" s="20"/>
      <c r="K115" s="8"/>
      <c r="L115" s="8"/>
    </row>
    <row r="116" spans="1:12" ht="15.75" thickBot="1">
      <c r="A116" s="8"/>
      <c r="B116" s="8"/>
      <c r="C116" s="8" t="s">
        <v>10</v>
      </c>
      <c r="D116" s="31">
        <f t="shared" ref="D116:I116" si="16">SUM(D114:D115)</f>
        <v>16782.8</v>
      </c>
      <c r="E116" s="31">
        <f t="shared" si="16"/>
        <v>88.45</v>
      </c>
      <c r="F116" s="30">
        <f t="shared" si="16"/>
        <v>0</v>
      </c>
      <c r="G116" s="30">
        <f t="shared" si="16"/>
        <v>0</v>
      </c>
      <c r="H116" s="30">
        <f t="shared" si="16"/>
        <v>0</v>
      </c>
      <c r="I116" s="30">
        <f t="shared" si="16"/>
        <v>0</v>
      </c>
      <c r="J116" s="31">
        <f>SUM(D116:I116)</f>
        <v>16871.25</v>
      </c>
      <c r="K116" s="8"/>
      <c r="L116" s="8"/>
    </row>
    <row r="117" spans="1:12" ht="15.75" thickTop="1">
      <c r="A117" s="8"/>
      <c r="B117" s="8"/>
      <c r="C117" s="8"/>
      <c r="D117" s="20"/>
      <c r="E117" s="20"/>
      <c r="F117" s="15"/>
      <c r="G117" s="15"/>
      <c r="H117" s="15"/>
      <c r="I117" s="15"/>
      <c r="J117" s="20"/>
      <c r="K117" s="8"/>
      <c r="L117" s="8"/>
    </row>
    <row r="118" spans="1:12">
      <c r="A118" s="8"/>
      <c r="B118" s="8"/>
      <c r="C118" s="8"/>
      <c r="D118" s="20"/>
      <c r="E118" s="20"/>
      <c r="F118" s="15"/>
      <c r="G118" s="15"/>
      <c r="H118" s="15"/>
      <c r="I118" s="15"/>
      <c r="J118" s="20"/>
      <c r="K118" s="8"/>
      <c r="L118" s="8"/>
    </row>
    <row r="119" spans="1:12">
      <c r="A119" s="8">
        <v>38</v>
      </c>
      <c r="B119" s="8" t="s">
        <v>31</v>
      </c>
      <c r="C119" s="8" t="s">
        <v>12</v>
      </c>
      <c r="D119" s="20">
        <v>7951.69</v>
      </c>
      <c r="E119" s="35">
        <v>0</v>
      </c>
      <c r="F119" s="15">
        <v>0</v>
      </c>
      <c r="G119" s="15">
        <v>0</v>
      </c>
      <c r="H119" s="15">
        <v>0</v>
      </c>
      <c r="I119" s="15">
        <v>0</v>
      </c>
      <c r="J119" s="20">
        <f>SUM(D119:I119)</f>
        <v>7951.69</v>
      </c>
      <c r="K119" s="8"/>
      <c r="L119" s="8"/>
    </row>
    <row r="120" spans="1:12">
      <c r="A120" s="8"/>
      <c r="B120" s="8"/>
      <c r="C120" s="8" t="s">
        <v>35</v>
      </c>
      <c r="D120" s="20">
        <v>731.72</v>
      </c>
      <c r="E120" s="35">
        <v>0</v>
      </c>
      <c r="F120" s="15">
        <v>0</v>
      </c>
      <c r="G120" s="15">
        <v>0</v>
      </c>
      <c r="H120" s="15">
        <v>0</v>
      </c>
      <c r="I120" s="15">
        <v>0</v>
      </c>
      <c r="J120" s="20">
        <f>SUM(D120:I120)</f>
        <v>731.72</v>
      </c>
      <c r="K120" s="8"/>
      <c r="L120" s="8"/>
    </row>
    <row r="121" spans="1:12">
      <c r="A121" s="8"/>
      <c r="B121" s="8"/>
      <c r="C121" s="8" t="s">
        <v>13</v>
      </c>
      <c r="D121" s="20">
        <v>279.02</v>
      </c>
      <c r="E121" s="35">
        <v>0</v>
      </c>
      <c r="F121" s="15">
        <v>0</v>
      </c>
      <c r="G121" s="15">
        <v>0</v>
      </c>
      <c r="H121" s="15">
        <v>0</v>
      </c>
      <c r="I121" s="15">
        <v>0</v>
      </c>
      <c r="J121" s="20">
        <f>SUM(D121:I121)</f>
        <v>279.02</v>
      </c>
      <c r="K121" s="8"/>
      <c r="L121" s="8"/>
    </row>
    <row r="122" spans="1:12" ht="15.75" thickBot="1">
      <c r="A122" s="8"/>
      <c r="B122" s="8"/>
      <c r="C122" s="8" t="s">
        <v>78</v>
      </c>
      <c r="D122" s="29">
        <v>738.12</v>
      </c>
      <c r="E122" s="34">
        <v>0</v>
      </c>
      <c r="F122" s="28">
        <v>0</v>
      </c>
      <c r="G122" s="28">
        <v>0</v>
      </c>
      <c r="H122" s="28">
        <v>0</v>
      </c>
      <c r="I122" s="28">
        <v>0</v>
      </c>
      <c r="J122" s="29">
        <f>SUM(D122:I122)</f>
        <v>738.12</v>
      </c>
      <c r="K122" s="8"/>
      <c r="L122" s="8"/>
    </row>
    <row r="123" spans="1:12">
      <c r="A123" s="8"/>
      <c r="B123" s="8"/>
      <c r="C123" s="8"/>
      <c r="D123" s="20"/>
      <c r="E123" s="35"/>
      <c r="F123" s="15"/>
      <c r="G123" s="15"/>
      <c r="H123" s="15"/>
      <c r="I123" s="15"/>
      <c r="J123" s="20"/>
      <c r="K123" s="8"/>
      <c r="L123" s="8"/>
    </row>
    <row r="124" spans="1:12" ht="15.75" thickBot="1">
      <c r="A124" s="8"/>
      <c r="B124" s="8"/>
      <c r="C124" s="8" t="s">
        <v>10</v>
      </c>
      <c r="D124" s="31">
        <f t="shared" ref="D124:I124" si="17">SUM(D119:D122)</f>
        <v>9700.5500000000011</v>
      </c>
      <c r="E124" s="44">
        <f t="shared" si="17"/>
        <v>0</v>
      </c>
      <c r="F124" s="30">
        <f t="shared" si="17"/>
        <v>0</v>
      </c>
      <c r="G124" s="30">
        <f t="shared" si="17"/>
        <v>0</v>
      </c>
      <c r="H124" s="30">
        <f t="shared" si="17"/>
        <v>0</v>
      </c>
      <c r="I124" s="30">
        <f t="shared" si="17"/>
        <v>0</v>
      </c>
      <c r="J124" s="31">
        <f>SUM(D124:I124)</f>
        <v>9700.5500000000011</v>
      </c>
      <c r="K124" s="8"/>
      <c r="L124" s="8"/>
    </row>
    <row r="125" spans="1:12" ht="15.75" thickTop="1">
      <c r="A125" s="8"/>
      <c r="B125" s="8"/>
      <c r="C125" s="8"/>
      <c r="D125" s="20"/>
      <c r="E125" s="20"/>
      <c r="F125" s="15"/>
      <c r="G125" s="15"/>
      <c r="H125" s="15"/>
      <c r="I125" s="15"/>
      <c r="J125" s="20"/>
      <c r="K125" s="8"/>
      <c r="L125" s="8"/>
    </row>
    <row r="126" spans="1:12">
      <c r="A126" s="8"/>
      <c r="B126" s="8"/>
      <c r="C126" s="8"/>
      <c r="D126" s="20"/>
      <c r="E126" s="20"/>
      <c r="F126" s="15"/>
      <c r="G126" s="15"/>
      <c r="H126" s="15"/>
      <c r="I126" s="15"/>
      <c r="J126" s="20"/>
      <c r="K126" s="8"/>
      <c r="L126" s="8"/>
    </row>
    <row r="127" spans="1:12" ht="15.75" thickBot="1">
      <c r="A127" s="8">
        <v>39</v>
      </c>
      <c r="B127" s="8" t="s">
        <v>32</v>
      </c>
      <c r="C127" s="8" t="s">
        <v>12</v>
      </c>
      <c r="D127" s="34">
        <v>0</v>
      </c>
      <c r="E127" s="34">
        <v>0</v>
      </c>
      <c r="F127" s="28">
        <v>0</v>
      </c>
      <c r="G127" s="28">
        <v>0</v>
      </c>
      <c r="H127" s="28">
        <v>0</v>
      </c>
      <c r="I127" s="28">
        <v>0</v>
      </c>
      <c r="J127" s="34">
        <f>SUM(D127:I127)</f>
        <v>0</v>
      </c>
      <c r="K127" s="8"/>
      <c r="L127" s="8"/>
    </row>
    <row r="128" spans="1:12">
      <c r="A128" s="8"/>
      <c r="B128" s="8"/>
      <c r="C128" s="8"/>
      <c r="D128" s="35"/>
      <c r="E128" s="35"/>
      <c r="F128" s="15"/>
      <c r="G128" s="15"/>
      <c r="H128" s="15"/>
      <c r="I128" s="15"/>
      <c r="J128" s="20"/>
      <c r="K128" s="8"/>
      <c r="L128" s="8"/>
    </row>
    <row r="129" spans="1:12" ht="15.75" thickBot="1">
      <c r="A129" s="8"/>
      <c r="B129" s="8"/>
      <c r="C129" s="8" t="s">
        <v>10</v>
      </c>
      <c r="D129" s="44">
        <f>D127</f>
        <v>0</v>
      </c>
      <c r="E129" s="44">
        <f t="shared" ref="E129:J129" si="18">E127</f>
        <v>0</v>
      </c>
      <c r="F129" s="30">
        <f t="shared" si="18"/>
        <v>0</v>
      </c>
      <c r="G129" s="30">
        <f t="shared" si="18"/>
        <v>0</v>
      </c>
      <c r="H129" s="30">
        <f t="shared" si="18"/>
        <v>0</v>
      </c>
      <c r="I129" s="30">
        <f t="shared" si="18"/>
        <v>0</v>
      </c>
      <c r="J129" s="30">
        <f t="shared" si="18"/>
        <v>0</v>
      </c>
      <c r="K129" s="8"/>
      <c r="L129" s="8"/>
    </row>
    <row r="130" spans="1:12" ht="15.75" thickTop="1">
      <c r="A130" s="8"/>
      <c r="B130" s="8"/>
      <c r="C130" s="8"/>
      <c r="D130" s="20"/>
      <c r="E130" s="20"/>
      <c r="F130" s="15"/>
      <c r="G130" s="15"/>
      <c r="H130" s="15"/>
      <c r="I130" s="15"/>
      <c r="J130" s="20"/>
      <c r="K130" s="8"/>
      <c r="L130" s="8"/>
    </row>
    <row r="131" spans="1:12">
      <c r="A131" s="8"/>
      <c r="B131" s="8"/>
      <c r="C131" s="8"/>
      <c r="D131" s="20"/>
      <c r="E131" s="20"/>
      <c r="F131" s="15"/>
      <c r="G131" s="15"/>
      <c r="H131" s="15"/>
      <c r="I131" s="15"/>
      <c r="J131" s="20"/>
      <c r="K131" s="8"/>
      <c r="L131" s="8"/>
    </row>
    <row r="132" spans="1:12" ht="15.75" thickBot="1">
      <c r="A132" s="8">
        <v>40</v>
      </c>
      <c r="B132" s="8" t="s">
        <v>33</v>
      </c>
      <c r="C132" s="8" t="s">
        <v>12</v>
      </c>
      <c r="D132" s="29">
        <v>10461.41</v>
      </c>
      <c r="E132" s="34">
        <v>6.17</v>
      </c>
      <c r="F132" s="28">
        <v>0</v>
      </c>
      <c r="G132" s="28">
        <v>0</v>
      </c>
      <c r="H132" s="28">
        <v>0</v>
      </c>
      <c r="I132" s="28">
        <v>0</v>
      </c>
      <c r="J132" s="29">
        <f>SUM(D132:I132)</f>
        <v>10467.58</v>
      </c>
      <c r="K132" s="8"/>
      <c r="L132" s="8"/>
    </row>
    <row r="133" spans="1:12">
      <c r="A133" s="8"/>
      <c r="B133" s="8"/>
      <c r="C133" s="8"/>
      <c r="D133" s="20"/>
      <c r="E133" s="35"/>
      <c r="F133" s="15"/>
      <c r="G133" s="15"/>
      <c r="H133" s="15"/>
      <c r="I133" s="15"/>
      <c r="J133" s="20"/>
      <c r="K133" s="8"/>
      <c r="L133" s="8"/>
    </row>
    <row r="134" spans="1:12" ht="15.75" thickBot="1">
      <c r="A134" s="8"/>
      <c r="B134" s="8"/>
      <c r="C134" s="8" t="s">
        <v>10</v>
      </c>
      <c r="D134" s="31">
        <f t="shared" ref="D134:I134" si="19">SUM(D132:D133)</f>
        <v>10461.41</v>
      </c>
      <c r="E134" s="44">
        <f t="shared" si="19"/>
        <v>6.17</v>
      </c>
      <c r="F134" s="30">
        <f t="shared" si="19"/>
        <v>0</v>
      </c>
      <c r="G134" s="30">
        <f t="shared" si="19"/>
        <v>0</v>
      </c>
      <c r="H134" s="30">
        <f t="shared" si="19"/>
        <v>0</v>
      </c>
      <c r="I134" s="30">
        <f t="shared" si="19"/>
        <v>0</v>
      </c>
      <c r="J134" s="31">
        <f>SUM(D134:I134)</f>
        <v>10467.58</v>
      </c>
      <c r="K134" s="8"/>
      <c r="L134" s="8"/>
    </row>
    <row r="135" spans="1:12" ht="15.75" thickTop="1">
      <c r="A135" s="8"/>
      <c r="B135" s="8"/>
      <c r="C135" s="8"/>
      <c r="D135" s="20"/>
      <c r="E135" s="20"/>
      <c r="F135" s="15"/>
      <c r="G135" s="15"/>
      <c r="H135" s="15"/>
      <c r="I135" s="15"/>
      <c r="J135" s="20"/>
      <c r="K135" s="8"/>
      <c r="L135" s="8"/>
    </row>
    <row r="136" spans="1:12">
      <c r="A136" s="8"/>
      <c r="B136" s="8"/>
      <c r="C136" s="8"/>
      <c r="D136" s="20"/>
      <c r="E136" s="20"/>
      <c r="F136" s="15"/>
      <c r="G136" s="15"/>
      <c r="H136" s="15"/>
      <c r="I136" s="15"/>
      <c r="J136" s="20"/>
      <c r="K136" s="8"/>
      <c r="L136" s="8"/>
    </row>
    <row r="137" spans="1:12">
      <c r="A137" s="8">
        <v>41</v>
      </c>
      <c r="B137" s="8" t="s">
        <v>34</v>
      </c>
      <c r="C137" s="8" t="s">
        <v>12</v>
      </c>
      <c r="D137" s="20">
        <v>11560.39</v>
      </c>
      <c r="E137" s="41">
        <v>4.76</v>
      </c>
      <c r="F137" s="15">
        <v>0</v>
      </c>
      <c r="G137" s="15">
        <v>0</v>
      </c>
      <c r="H137" s="15">
        <v>0</v>
      </c>
      <c r="I137" s="15">
        <v>0</v>
      </c>
      <c r="J137" s="20">
        <f>SUM(D137:I137)</f>
        <v>11565.15</v>
      </c>
      <c r="K137" s="8"/>
      <c r="L137" s="8"/>
    </row>
    <row r="138" spans="1:12">
      <c r="A138" s="8"/>
      <c r="B138" s="8"/>
      <c r="C138" s="38" t="s">
        <v>35</v>
      </c>
      <c r="D138" s="20">
        <v>642.27</v>
      </c>
      <c r="E138" s="41">
        <v>0.37</v>
      </c>
      <c r="F138" s="15">
        <v>0</v>
      </c>
      <c r="G138" s="15">
        <v>0</v>
      </c>
      <c r="H138" s="15">
        <v>0</v>
      </c>
      <c r="I138" s="15">
        <v>0</v>
      </c>
      <c r="J138" s="20">
        <f>SUM(D138:I138)</f>
        <v>642.64</v>
      </c>
      <c r="K138" s="8"/>
      <c r="L138" s="8"/>
    </row>
    <row r="139" spans="1:12" ht="15.75" thickBot="1">
      <c r="A139" s="8"/>
      <c r="B139" s="8"/>
      <c r="C139" s="38" t="s">
        <v>109</v>
      </c>
      <c r="D139" s="29">
        <v>1522.13</v>
      </c>
      <c r="E139" s="42">
        <v>0.79</v>
      </c>
      <c r="F139" s="28">
        <v>0</v>
      </c>
      <c r="G139" s="28">
        <v>0</v>
      </c>
      <c r="H139" s="28">
        <v>0</v>
      </c>
      <c r="I139" s="28">
        <v>0</v>
      </c>
      <c r="J139" s="29">
        <f>SUM(D139:I139)</f>
        <v>1522.92</v>
      </c>
      <c r="K139" s="8"/>
      <c r="L139" s="8"/>
    </row>
    <row r="140" spans="1:12">
      <c r="A140" s="8"/>
      <c r="B140" s="8"/>
      <c r="C140" s="8"/>
      <c r="D140" s="20"/>
      <c r="E140" s="41"/>
      <c r="F140" s="15"/>
      <c r="G140" s="15"/>
      <c r="H140" s="15"/>
      <c r="I140" s="15"/>
      <c r="J140" s="20"/>
      <c r="K140" s="8"/>
      <c r="L140" s="8"/>
    </row>
    <row r="141" spans="1:12" ht="15.75" thickBot="1">
      <c r="A141" s="8"/>
      <c r="B141" s="8"/>
      <c r="C141" s="8" t="s">
        <v>10</v>
      </c>
      <c r="D141" s="31">
        <f t="shared" ref="D141:I141" si="20">SUM(D137:D139)</f>
        <v>13724.79</v>
      </c>
      <c r="E141" s="43">
        <f t="shared" si="20"/>
        <v>5.92</v>
      </c>
      <c r="F141" s="30">
        <f t="shared" si="20"/>
        <v>0</v>
      </c>
      <c r="G141" s="30">
        <f t="shared" si="20"/>
        <v>0</v>
      </c>
      <c r="H141" s="30">
        <f t="shared" si="20"/>
        <v>0</v>
      </c>
      <c r="I141" s="30">
        <f t="shared" si="20"/>
        <v>0</v>
      </c>
      <c r="J141" s="31">
        <f>SUM(D141:I141)</f>
        <v>13730.710000000001</v>
      </c>
      <c r="K141" s="8"/>
      <c r="L141" s="8"/>
    </row>
    <row r="142" spans="1:12" ht="15.75" thickTop="1">
      <c r="A142" s="8"/>
      <c r="B142" s="8"/>
      <c r="C142" s="8"/>
      <c r="D142" s="20"/>
      <c r="E142" s="20"/>
      <c r="F142" s="15"/>
      <c r="G142" s="15"/>
      <c r="H142" s="15"/>
      <c r="I142" s="15"/>
      <c r="J142" s="20"/>
      <c r="K142" s="8"/>
      <c r="L142" s="8"/>
    </row>
    <row r="143" spans="1:12">
      <c r="A143" s="8"/>
      <c r="B143" s="8"/>
      <c r="C143" s="8"/>
      <c r="D143" s="20"/>
      <c r="E143" s="20"/>
      <c r="F143" s="15"/>
      <c r="G143" s="15"/>
      <c r="H143" s="15"/>
      <c r="I143" s="15"/>
      <c r="J143" s="20"/>
      <c r="K143" s="8"/>
      <c r="L143" s="8"/>
    </row>
    <row r="144" spans="1:12">
      <c r="A144" s="8">
        <v>42</v>
      </c>
      <c r="B144" s="8" t="s">
        <v>36</v>
      </c>
      <c r="C144" s="8" t="s">
        <v>12</v>
      </c>
      <c r="D144" s="20">
        <v>15010.25</v>
      </c>
      <c r="E144" s="20">
        <v>713.35</v>
      </c>
      <c r="F144" s="40">
        <v>334.49</v>
      </c>
      <c r="G144" s="15">
        <v>0</v>
      </c>
      <c r="H144" s="15">
        <v>0</v>
      </c>
      <c r="I144" s="15">
        <v>0</v>
      </c>
      <c r="J144" s="20">
        <f>SUM(D144:I144)</f>
        <v>16058.09</v>
      </c>
      <c r="K144" s="8"/>
      <c r="L144" s="8"/>
    </row>
    <row r="145" spans="1:12" ht="15.75" thickBot="1">
      <c r="A145" s="8"/>
      <c r="B145" s="8"/>
      <c r="C145" s="8" t="s">
        <v>13</v>
      </c>
      <c r="D145" s="29">
        <v>408.68</v>
      </c>
      <c r="E145" s="29">
        <v>26.02</v>
      </c>
      <c r="F145" s="28">
        <v>16.57</v>
      </c>
      <c r="G145" s="28">
        <v>0</v>
      </c>
      <c r="H145" s="28">
        <v>0</v>
      </c>
      <c r="I145" s="28">
        <v>0</v>
      </c>
      <c r="J145" s="29">
        <f>SUM(D145:I145)</f>
        <v>451.27</v>
      </c>
      <c r="K145" s="8"/>
      <c r="L145" s="8"/>
    </row>
    <row r="146" spans="1:12">
      <c r="A146" s="8"/>
      <c r="B146" s="8"/>
      <c r="C146" s="8"/>
      <c r="D146" s="20"/>
      <c r="E146" s="20"/>
      <c r="F146" s="15"/>
      <c r="G146" s="15"/>
      <c r="H146" s="15"/>
      <c r="I146" s="15"/>
      <c r="J146" s="20"/>
      <c r="K146" s="8"/>
      <c r="L146" s="8"/>
    </row>
    <row r="147" spans="1:12" ht="15.75" thickBot="1">
      <c r="A147" s="8"/>
      <c r="B147" s="8"/>
      <c r="C147" s="8" t="s">
        <v>10</v>
      </c>
      <c r="D147" s="31">
        <f t="shared" ref="D147:I147" si="21">SUM(D144:D145)</f>
        <v>15418.93</v>
      </c>
      <c r="E147" s="31">
        <f t="shared" si="21"/>
        <v>739.37</v>
      </c>
      <c r="F147" s="30">
        <f t="shared" si="21"/>
        <v>351.06</v>
      </c>
      <c r="G147" s="30">
        <f t="shared" si="21"/>
        <v>0</v>
      </c>
      <c r="H147" s="30">
        <f t="shared" si="21"/>
        <v>0</v>
      </c>
      <c r="I147" s="30">
        <f t="shared" si="21"/>
        <v>0</v>
      </c>
      <c r="J147" s="31">
        <f>SUM(D147:I147)</f>
        <v>16509.36</v>
      </c>
      <c r="K147" s="8"/>
      <c r="L147" s="8"/>
    </row>
    <row r="148" spans="1:12" ht="15.75" thickTop="1">
      <c r="A148" s="8"/>
      <c r="B148" s="8"/>
      <c r="C148" s="8"/>
      <c r="D148" s="20"/>
      <c r="E148" s="20"/>
      <c r="F148" s="15"/>
      <c r="G148" s="15"/>
      <c r="H148" s="15"/>
      <c r="I148" s="15"/>
      <c r="J148" s="20"/>
      <c r="K148" s="8"/>
      <c r="L148" s="8"/>
    </row>
    <row r="149" spans="1:12">
      <c r="A149" s="8"/>
      <c r="B149" s="8"/>
      <c r="C149" s="8"/>
      <c r="D149" s="20"/>
      <c r="E149" s="20"/>
      <c r="F149" s="15"/>
      <c r="G149" s="15"/>
      <c r="H149" s="15"/>
      <c r="I149" s="15"/>
      <c r="J149" s="20"/>
      <c r="K149" s="8"/>
      <c r="L149" s="8"/>
    </row>
    <row r="150" spans="1:12">
      <c r="A150" s="8">
        <v>43</v>
      </c>
      <c r="B150" s="8" t="s">
        <v>37</v>
      </c>
      <c r="C150" s="8" t="s">
        <v>12</v>
      </c>
      <c r="D150" s="20">
        <v>19151.599999999999</v>
      </c>
      <c r="E150" s="35">
        <v>0</v>
      </c>
      <c r="F150" s="15">
        <v>0</v>
      </c>
      <c r="G150" s="15">
        <v>0</v>
      </c>
      <c r="H150" s="15">
        <v>0</v>
      </c>
      <c r="I150" s="15">
        <v>0</v>
      </c>
      <c r="J150" s="20">
        <f>SUM(D150:I150)</f>
        <v>19151.599999999999</v>
      </c>
      <c r="K150" s="8"/>
      <c r="L150" s="8"/>
    </row>
    <row r="151" spans="1:12">
      <c r="A151" s="8"/>
      <c r="B151" s="8"/>
      <c r="C151" s="8" t="s">
        <v>35</v>
      </c>
      <c r="D151" s="20">
        <v>383.07</v>
      </c>
      <c r="E151" s="35">
        <v>0</v>
      </c>
      <c r="F151" s="15">
        <v>0</v>
      </c>
      <c r="G151" s="15">
        <v>0</v>
      </c>
      <c r="H151" s="15">
        <v>0</v>
      </c>
      <c r="I151" s="15">
        <v>0</v>
      </c>
      <c r="J151" s="20">
        <f>SUM(D151:I151)</f>
        <v>383.07</v>
      </c>
      <c r="K151" s="8"/>
      <c r="L151" s="8"/>
    </row>
    <row r="152" spans="1:12">
      <c r="A152" s="8"/>
      <c r="B152" s="8"/>
      <c r="C152" s="8" t="s">
        <v>13</v>
      </c>
      <c r="D152" s="20">
        <v>260.58</v>
      </c>
      <c r="E152" s="35">
        <v>0</v>
      </c>
      <c r="F152" s="15">
        <v>0</v>
      </c>
      <c r="G152" s="15">
        <v>0</v>
      </c>
      <c r="H152" s="15">
        <v>0</v>
      </c>
      <c r="I152" s="15">
        <v>0</v>
      </c>
      <c r="J152" s="20">
        <f>SUM(D152:I152)</f>
        <v>260.58</v>
      </c>
      <c r="K152" s="8"/>
      <c r="L152" s="8"/>
    </row>
    <row r="153" spans="1:12" ht="15.75" thickBot="1">
      <c r="A153" s="8"/>
      <c r="B153" s="8"/>
      <c r="C153" s="8" t="s">
        <v>78</v>
      </c>
      <c r="D153" s="29">
        <v>1133.1600000000001</v>
      </c>
      <c r="E153" s="34">
        <v>0</v>
      </c>
      <c r="F153" s="28">
        <v>0</v>
      </c>
      <c r="G153" s="28">
        <v>0</v>
      </c>
      <c r="H153" s="28">
        <v>0</v>
      </c>
      <c r="I153" s="28">
        <v>0</v>
      </c>
      <c r="J153" s="29">
        <f>SUM(D153:I153)</f>
        <v>1133.1600000000001</v>
      </c>
      <c r="K153" s="8"/>
      <c r="L153" s="8"/>
    </row>
    <row r="154" spans="1:12">
      <c r="A154" s="8"/>
      <c r="B154" s="8"/>
      <c r="C154" s="8"/>
      <c r="D154" s="20"/>
      <c r="E154" s="35"/>
      <c r="F154" s="15"/>
      <c r="G154" s="15"/>
      <c r="H154" s="15"/>
      <c r="I154" s="15"/>
      <c r="J154" s="20"/>
      <c r="K154" s="8"/>
      <c r="L154" s="8"/>
    </row>
    <row r="155" spans="1:12" ht="15.75" thickBot="1">
      <c r="A155" s="8"/>
      <c r="B155" s="8"/>
      <c r="C155" s="8" t="s">
        <v>10</v>
      </c>
      <c r="D155" s="31">
        <f t="shared" ref="D155:I155" si="22">SUM(D150:D153)</f>
        <v>20928.41</v>
      </c>
      <c r="E155" s="44">
        <f>SUM(E150:E153)</f>
        <v>0</v>
      </c>
      <c r="F155" s="30">
        <f t="shared" si="22"/>
        <v>0</v>
      </c>
      <c r="G155" s="30">
        <f t="shared" si="22"/>
        <v>0</v>
      </c>
      <c r="H155" s="30">
        <f t="shared" si="22"/>
        <v>0</v>
      </c>
      <c r="I155" s="30">
        <f t="shared" si="22"/>
        <v>0</v>
      </c>
      <c r="J155" s="31">
        <f>SUM(D155:I155)</f>
        <v>20928.41</v>
      </c>
      <c r="K155" s="8"/>
      <c r="L155" s="8"/>
    </row>
    <row r="156" spans="1:12" ht="15.75" thickTop="1">
      <c r="A156" s="8"/>
      <c r="B156" s="8"/>
      <c r="C156" s="8"/>
      <c r="D156" s="20"/>
      <c r="E156" s="20"/>
      <c r="F156" s="15"/>
      <c r="G156" s="15"/>
      <c r="H156" s="15"/>
      <c r="I156" s="15"/>
      <c r="J156" s="20"/>
      <c r="K156" s="8"/>
      <c r="L156" s="8"/>
    </row>
    <row r="157" spans="1:12">
      <c r="A157" s="8"/>
      <c r="B157" s="8"/>
      <c r="C157" s="8"/>
      <c r="D157" s="20"/>
      <c r="E157" s="20"/>
      <c r="F157" s="15"/>
      <c r="G157" s="15"/>
      <c r="H157" s="15"/>
      <c r="I157" s="15"/>
      <c r="J157" s="20"/>
      <c r="K157" s="8"/>
      <c r="L157" s="8"/>
    </row>
    <row r="158" spans="1:12" ht="15.75" thickBot="1">
      <c r="A158" s="8">
        <v>44</v>
      </c>
      <c r="B158" s="8" t="s">
        <v>38</v>
      </c>
      <c r="C158" s="8" t="s">
        <v>12</v>
      </c>
      <c r="D158" s="29">
        <v>19008.150000000001</v>
      </c>
      <c r="E158" s="29">
        <v>551.34</v>
      </c>
      <c r="F158" s="28">
        <v>443.06</v>
      </c>
      <c r="G158" s="28">
        <v>0</v>
      </c>
      <c r="H158" s="28">
        <v>0</v>
      </c>
      <c r="I158" s="28">
        <v>0</v>
      </c>
      <c r="J158" s="29">
        <f>SUM(D158:I158)</f>
        <v>20002.550000000003</v>
      </c>
      <c r="K158" s="8"/>
      <c r="L158" s="8"/>
    </row>
    <row r="159" spans="1:12">
      <c r="A159" s="8"/>
      <c r="B159" s="8"/>
      <c r="C159" s="8"/>
      <c r="D159" s="20"/>
      <c r="E159" s="20"/>
      <c r="F159" s="15"/>
      <c r="G159" s="15"/>
      <c r="H159" s="15"/>
      <c r="I159" s="15"/>
      <c r="J159" s="20"/>
      <c r="K159" s="8"/>
      <c r="L159" s="8"/>
    </row>
    <row r="160" spans="1:12" ht="15.75" thickBot="1">
      <c r="A160" s="8"/>
      <c r="B160" s="8"/>
      <c r="C160" s="8" t="s">
        <v>10</v>
      </c>
      <c r="D160" s="31">
        <f t="shared" ref="D160:I160" si="23">SUM(D158:D159)</f>
        <v>19008.150000000001</v>
      </c>
      <c r="E160" s="31">
        <f t="shared" si="23"/>
        <v>551.34</v>
      </c>
      <c r="F160" s="30">
        <f t="shared" si="23"/>
        <v>443.06</v>
      </c>
      <c r="G160" s="30">
        <f t="shared" si="23"/>
        <v>0</v>
      </c>
      <c r="H160" s="30">
        <f t="shared" si="23"/>
        <v>0</v>
      </c>
      <c r="I160" s="30">
        <f t="shared" si="23"/>
        <v>0</v>
      </c>
      <c r="J160" s="31">
        <f>SUM(D160:I160)</f>
        <v>20002.550000000003</v>
      </c>
      <c r="K160" s="8"/>
      <c r="L160" s="8"/>
    </row>
    <row r="161" spans="1:12" ht="15.75" thickTop="1">
      <c r="A161" s="8"/>
      <c r="B161" s="8"/>
      <c r="C161" s="8"/>
      <c r="D161" s="20"/>
      <c r="E161" s="20"/>
      <c r="F161" s="15"/>
      <c r="G161" s="15" t="s">
        <v>70</v>
      </c>
      <c r="H161" s="15" t="s">
        <v>70</v>
      </c>
      <c r="I161" s="15" t="s">
        <v>70</v>
      </c>
      <c r="J161" s="20"/>
      <c r="K161" s="8"/>
      <c r="L161" s="8"/>
    </row>
    <row r="162" spans="1:12">
      <c r="A162" s="8"/>
      <c r="B162" s="8"/>
      <c r="C162" s="8"/>
      <c r="D162" s="20"/>
      <c r="E162" s="20"/>
      <c r="F162" s="15"/>
      <c r="G162" s="15"/>
      <c r="H162" s="15"/>
      <c r="I162" s="15"/>
      <c r="J162" s="20"/>
      <c r="K162" s="8"/>
      <c r="L162" s="8"/>
    </row>
    <row r="163" spans="1:12" ht="15.75" thickBot="1">
      <c r="A163" s="8">
        <v>45</v>
      </c>
      <c r="B163" s="8" t="s">
        <v>39</v>
      </c>
      <c r="C163" s="8" t="s">
        <v>12</v>
      </c>
      <c r="D163" s="29">
        <v>16869.21</v>
      </c>
      <c r="E163" s="29">
        <v>1016.82</v>
      </c>
      <c r="F163" s="28">
        <v>828.54</v>
      </c>
      <c r="G163" s="28">
        <v>0</v>
      </c>
      <c r="H163" s="28">
        <v>0</v>
      </c>
      <c r="I163" s="28">
        <v>0</v>
      </c>
      <c r="J163" s="29">
        <f>SUM(D163:I163)</f>
        <v>18714.57</v>
      </c>
      <c r="K163" s="8"/>
      <c r="L163" s="8"/>
    </row>
    <row r="164" spans="1:12">
      <c r="A164" s="8"/>
      <c r="B164" s="8"/>
      <c r="C164" s="8"/>
      <c r="D164" s="20"/>
      <c r="E164" s="20"/>
      <c r="F164" s="15"/>
      <c r="G164" s="15"/>
      <c r="H164" s="15"/>
      <c r="I164" s="15"/>
      <c r="J164" s="20"/>
      <c r="K164" s="8"/>
      <c r="L164" s="8"/>
    </row>
    <row r="165" spans="1:12" ht="15.75" thickBot="1">
      <c r="A165" s="8"/>
      <c r="B165" s="8"/>
      <c r="C165" s="8" t="s">
        <v>10</v>
      </c>
      <c r="D165" s="31">
        <f t="shared" ref="D165:I165" si="24">SUM(D163:D164)</f>
        <v>16869.21</v>
      </c>
      <c r="E165" s="31">
        <f t="shared" si="24"/>
        <v>1016.82</v>
      </c>
      <c r="F165" s="30">
        <f t="shared" si="24"/>
        <v>828.54</v>
      </c>
      <c r="G165" s="30">
        <f t="shared" si="24"/>
        <v>0</v>
      </c>
      <c r="H165" s="30">
        <f t="shared" si="24"/>
        <v>0</v>
      </c>
      <c r="I165" s="30">
        <f t="shared" si="24"/>
        <v>0</v>
      </c>
      <c r="J165" s="31">
        <f>SUM(D165:I165)</f>
        <v>18714.57</v>
      </c>
      <c r="K165" s="8"/>
      <c r="L165" s="8"/>
    </row>
    <row r="166" spans="1:12" ht="15.75" thickTop="1">
      <c r="A166" s="8"/>
      <c r="B166" s="8"/>
      <c r="C166" s="8"/>
      <c r="D166" s="20"/>
      <c r="E166" s="20"/>
      <c r="F166" s="15"/>
      <c r="G166" s="15"/>
      <c r="H166" s="15"/>
      <c r="I166" s="15"/>
      <c r="J166" s="20"/>
      <c r="K166" s="8"/>
      <c r="L166" s="8"/>
    </row>
    <row r="167" spans="1:12">
      <c r="A167" s="8"/>
      <c r="B167" s="8"/>
      <c r="C167" s="8"/>
      <c r="D167" s="20"/>
      <c r="E167" s="20"/>
      <c r="F167" s="15"/>
      <c r="G167" s="15"/>
      <c r="H167" s="15"/>
      <c r="I167" s="15"/>
      <c r="J167" s="20"/>
      <c r="K167" s="8"/>
      <c r="L167" s="8"/>
    </row>
    <row r="168" spans="1:12" ht="15.75" thickBot="1">
      <c r="A168" s="8">
        <v>46</v>
      </c>
      <c r="B168" s="8" t="s">
        <v>40</v>
      </c>
      <c r="C168" s="8" t="s">
        <v>12</v>
      </c>
      <c r="D168" s="29">
        <v>10651.66</v>
      </c>
      <c r="E168" s="34">
        <v>0</v>
      </c>
      <c r="F168" s="28">
        <v>0</v>
      </c>
      <c r="G168" s="28">
        <v>0</v>
      </c>
      <c r="H168" s="28">
        <v>0</v>
      </c>
      <c r="I168" s="28">
        <v>0</v>
      </c>
      <c r="J168" s="29">
        <f>SUM(D168:I168)</f>
        <v>10651.66</v>
      </c>
      <c r="K168" s="8"/>
      <c r="L168" s="8"/>
    </row>
    <row r="169" spans="1:12">
      <c r="A169" s="8"/>
      <c r="B169" s="8"/>
      <c r="C169" s="8"/>
      <c r="D169" s="20"/>
      <c r="E169" s="35"/>
      <c r="F169" s="15"/>
      <c r="G169" s="15"/>
      <c r="H169" s="15"/>
      <c r="I169" s="15"/>
      <c r="J169" s="20"/>
      <c r="K169" s="8"/>
      <c r="L169" s="8"/>
    </row>
    <row r="170" spans="1:12" ht="15.75" thickBot="1">
      <c r="A170" s="8"/>
      <c r="B170" s="8"/>
      <c r="C170" s="8" t="s">
        <v>10</v>
      </c>
      <c r="D170" s="31">
        <f t="shared" ref="D170:I170" si="25">SUM(D168:D169)</f>
        <v>10651.66</v>
      </c>
      <c r="E170" s="44">
        <f t="shared" si="25"/>
        <v>0</v>
      </c>
      <c r="F170" s="30">
        <f t="shared" si="25"/>
        <v>0</v>
      </c>
      <c r="G170" s="30">
        <f t="shared" si="25"/>
        <v>0</v>
      </c>
      <c r="H170" s="30">
        <f t="shared" si="25"/>
        <v>0</v>
      </c>
      <c r="I170" s="30">
        <f t="shared" si="25"/>
        <v>0</v>
      </c>
      <c r="J170" s="31">
        <f>SUM(D170:I170)</f>
        <v>10651.66</v>
      </c>
      <c r="K170" s="8"/>
      <c r="L170" s="8"/>
    </row>
    <row r="171" spans="1:12" ht="15.75" thickTop="1">
      <c r="A171" s="8"/>
      <c r="B171" s="8"/>
      <c r="C171" s="8"/>
      <c r="D171" s="20"/>
      <c r="E171" s="20"/>
      <c r="F171" s="15"/>
      <c r="G171" s="15"/>
      <c r="H171" s="15"/>
      <c r="I171" s="15"/>
      <c r="J171" s="20"/>
      <c r="K171" s="8"/>
      <c r="L171" s="8"/>
    </row>
    <row r="172" spans="1:12">
      <c r="A172" s="8"/>
      <c r="B172" s="8"/>
      <c r="C172" s="8"/>
      <c r="D172" s="20"/>
      <c r="E172" s="20"/>
      <c r="F172" s="15"/>
      <c r="G172" s="15"/>
      <c r="H172" s="15"/>
      <c r="I172" s="15"/>
      <c r="J172" s="20"/>
      <c r="K172" s="8"/>
      <c r="L172" s="8"/>
    </row>
    <row r="173" spans="1:12" ht="15.75" thickBot="1">
      <c r="A173" s="8">
        <v>47</v>
      </c>
      <c r="B173" s="8" t="s">
        <v>41</v>
      </c>
      <c r="C173" s="8" t="s">
        <v>12</v>
      </c>
      <c r="D173" s="29">
        <v>10589.4</v>
      </c>
      <c r="E173" s="29">
        <v>146.74</v>
      </c>
      <c r="F173" s="28">
        <v>140.33000000000001</v>
      </c>
      <c r="G173" s="28">
        <v>0</v>
      </c>
      <c r="H173" s="28">
        <v>0</v>
      </c>
      <c r="I173" s="28">
        <v>0</v>
      </c>
      <c r="J173" s="29">
        <f>SUM(D173:I173)</f>
        <v>10876.47</v>
      </c>
      <c r="K173" s="8"/>
      <c r="L173" s="8"/>
    </row>
    <row r="174" spans="1:12">
      <c r="A174" s="8"/>
      <c r="B174" s="8"/>
      <c r="C174" s="8"/>
      <c r="D174" s="20"/>
      <c r="E174" s="20"/>
      <c r="F174" s="15"/>
      <c r="G174" s="15"/>
      <c r="H174" s="15"/>
      <c r="I174" s="15"/>
      <c r="J174" s="20"/>
      <c r="K174" s="8"/>
      <c r="L174" s="8"/>
    </row>
    <row r="175" spans="1:12" ht="15.75" thickBot="1">
      <c r="A175" s="8"/>
      <c r="B175" s="8"/>
      <c r="C175" s="8" t="s">
        <v>10</v>
      </c>
      <c r="D175" s="31">
        <f t="shared" ref="D175:I175" si="26">SUM(D173:D174)</f>
        <v>10589.4</v>
      </c>
      <c r="E175" s="31">
        <f t="shared" si="26"/>
        <v>146.74</v>
      </c>
      <c r="F175" s="30">
        <f t="shared" si="26"/>
        <v>140.33000000000001</v>
      </c>
      <c r="G175" s="30">
        <f t="shared" si="26"/>
        <v>0</v>
      </c>
      <c r="H175" s="30">
        <f t="shared" si="26"/>
        <v>0</v>
      </c>
      <c r="I175" s="30">
        <f t="shared" si="26"/>
        <v>0</v>
      </c>
      <c r="J175" s="31">
        <f>SUM(D175:I175)</f>
        <v>10876.47</v>
      </c>
      <c r="K175" s="8"/>
      <c r="L175" s="8"/>
    </row>
    <row r="176" spans="1:12" ht="15.75" thickTop="1">
      <c r="A176" s="8"/>
      <c r="B176" s="8"/>
      <c r="C176" s="8"/>
      <c r="D176" s="20"/>
      <c r="E176" s="20"/>
      <c r="F176" s="15"/>
      <c r="G176" s="15"/>
      <c r="H176" s="15"/>
      <c r="I176" s="15"/>
      <c r="J176" s="20"/>
      <c r="K176" s="8"/>
      <c r="L176" s="8"/>
    </row>
    <row r="177" spans="1:12">
      <c r="A177" s="8"/>
      <c r="B177" s="8"/>
      <c r="C177" s="8"/>
      <c r="D177" s="20"/>
      <c r="E177" s="20"/>
      <c r="F177" s="15"/>
      <c r="G177" s="15"/>
      <c r="H177" s="15"/>
      <c r="I177" s="15"/>
      <c r="J177" s="20"/>
      <c r="K177" s="8"/>
      <c r="L177" s="8"/>
    </row>
    <row r="178" spans="1:12" ht="15.75" thickBot="1">
      <c r="A178" s="8">
        <v>48</v>
      </c>
      <c r="B178" s="8" t="s">
        <v>42</v>
      </c>
      <c r="C178" s="8" t="s">
        <v>12</v>
      </c>
      <c r="D178" s="29">
        <v>9909.56</v>
      </c>
      <c r="E178" s="34">
        <v>0</v>
      </c>
      <c r="F178" s="28">
        <v>0</v>
      </c>
      <c r="G178" s="28">
        <v>0</v>
      </c>
      <c r="H178" s="28">
        <v>0</v>
      </c>
      <c r="I178" s="28">
        <v>0</v>
      </c>
      <c r="J178" s="29">
        <f>SUM(D178:I178)</f>
        <v>9909.56</v>
      </c>
      <c r="K178" s="8"/>
      <c r="L178" s="8"/>
    </row>
    <row r="179" spans="1:12">
      <c r="A179" s="8"/>
      <c r="B179" s="8"/>
      <c r="C179" s="8"/>
      <c r="D179" s="20"/>
      <c r="E179" s="35"/>
      <c r="F179" s="15"/>
      <c r="G179" s="15"/>
      <c r="H179" s="15"/>
      <c r="I179" s="15"/>
      <c r="J179" s="20"/>
      <c r="K179" s="8"/>
      <c r="L179" s="8"/>
    </row>
    <row r="180" spans="1:12" ht="15.75" thickBot="1">
      <c r="A180" s="8"/>
      <c r="B180" s="8"/>
      <c r="C180" s="8"/>
      <c r="D180" s="31">
        <f t="shared" ref="D180:I180" si="27">SUM(D178:D179)</f>
        <v>9909.56</v>
      </c>
      <c r="E180" s="44">
        <f t="shared" si="27"/>
        <v>0</v>
      </c>
      <c r="F180" s="30">
        <f t="shared" si="27"/>
        <v>0</v>
      </c>
      <c r="G180" s="30">
        <f t="shared" si="27"/>
        <v>0</v>
      </c>
      <c r="H180" s="30">
        <f t="shared" si="27"/>
        <v>0</v>
      </c>
      <c r="I180" s="30">
        <f t="shared" si="27"/>
        <v>0</v>
      </c>
      <c r="J180" s="31">
        <f>SUM(D180:I180)</f>
        <v>9909.56</v>
      </c>
      <c r="K180" s="8"/>
      <c r="L180" s="8"/>
    </row>
    <row r="181" spans="1:12" ht="15.75" thickTop="1">
      <c r="A181" s="8"/>
      <c r="B181" s="8"/>
      <c r="C181" s="8"/>
      <c r="D181" s="20"/>
      <c r="E181" s="20"/>
      <c r="F181" s="15"/>
      <c r="G181" s="15"/>
      <c r="H181" s="15"/>
      <c r="I181" s="15"/>
      <c r="J181" s="20"/>
      <c r="K181" s="8"/>
      <c r="L181" s="8"/>
    </row>
    <row r="182" spans="1:12">
      <c r="A182" s="8"/>
      <c r="B182" s="8"/>
      <c r="C182" s="8"/>
      <c r="D182" s="20"/>
      <c r="E182" s="20"/>
      <c r="F182" s="15"/>
      <c r="G182" s="15"/>
      <c r="H182" s="15"/>
      <c r="I182" s="15"/>
      <c r="J182" s="20"/>
      <c r="K182" s="8"/>
      <c r="L182" s="8"/>
    </row>
    <row r="183" spans="1:12" ht="15.75" thickBot="1">
      <c r="A183" s="8">
        <v>49</v>
      </c>
      <c r="B183" s="8" t="s">
        <v>43</v>
      </c>
      <c r="C183" s="8" t="s">
        <v>12</v>
      </c>
      <c r="D183" s="29">
        <v>30100</v>
      </c>
      <c r="E183" s="29">
        <v>348.48</v>
      </c>
      <c r="F183" s="28">
        <v>0</v>
      </c>
      <c r="G183" s="28">
        <v>0</v>
      </c>
      <c r="H183" s="28">
        <v>0</v>
      </c>
      <c r="I183" s="28">
        <v>0</v>
      </c>
      <c r="J183" s="29">
        <f>SUM(D183:I183)</f>
        <v>30448.48</v>
      </c>
      <c r="K183" s="8"/>
      <c r="L183" s="8"/>
    </row>
    <row r="184" spans="1:12">
      <c r="A184" s="8"/>
      <c r="B184" s="8"/>
      <c r="C184" s="8"/>
      <c r="D184" s="20"/>
      <c r="E184" s="20"/>
      <c r="F184" s="15"/>
      <c r="G184" s="15"/>
      <c r="H184" s="15"/>
      <c r="I184" s="15"/>
      <c r="J184" s="20"/>
      <c r="K184" s="8"/>
      <c r="L184" s="8"/>
    </row>
    <row r="185" spans="1:12" ht="15.75" thickBot="1">
      <c r="A185" s="8"/>
      <c r="B185" s="8"/>
      <c r="C185" s="8" t="s">
        <v>10</v>
      </c>
      <c r="D185" s="31">
        <f t="shared" ref="D185:I185" si="28">SUM(D183:D184)</f>
        <v>30100</v>
      </c>
      <c r="E185" s="31">
        <f t="shared" si="28"/>
        <v>348.48</v>
      </c>
      <c r="F185" s="30">
        <f t="shared" si="28"/>
        <v>0</v>
      </c>
      <c r="G185" s="30">
        <f t="shared" si="28"/>
        <v>0</v>
      </c>
      <c r="H185" s="30">
        <f t="shared" si="28"/>
        <v>0</v>
      </c>
      <c r="I185" s="30">
        <f t="shared" si="28"/>
        <v>0</v>
      </c>
      <c r="J185" s="31">
        <f>SUM(D185:I185)</f>
        <v>30448.48</v>
      </c>
      <c r="K185" s="8"/>
      <c r="L185" s="8"/>
    </row>
    <row r="186" spans="1:12" ht="15.75" thickTop="1">
      <c r="A186" s="8"/>
      <c r="B186" s="8"/>
      <c r="C186" s="8"/>
      <c r="D186" s="20"/>
      <c r="E186" s="20"/>
      <c r="F186" s="15"/>
      <c r="G186" s="15"/>
      <c r="H186" s="15"/>
      <c r="I186" s="15"/>
      <c r="J186" s="20"/>
      <c r="K186" s="8"/>
      <c r="L186" s="8"/>
    </row>
    <row r="187" spans="1:12">
      <c r="A187" s="8"/>
      <c r="B187" s="8"/>
      <c r="C187" s="8"/>
      <c r="D187" s="20"/>
      <c r="E187" s="20"/>
      <c r="F187" s="15"/>
      <c r="G187" s="15"/>
      <c r="H187" s="15"/>
      <c r="I187" s="15"/>
      <c r="J187" s="20"/>
      <c r="K187" s="8"/>
      <c r="L187" s="8"/>
    </row>
    <row r="188" spans="1:12">
      <c r="A188" s="8">
        <v>50</v>
      </c>
      <c r="B188" s="8" t="s">
        <v>44</v>
      </c>
      <c r="C188" s="8" t="s">
        <v>12</v>
      </c>
      <c r="D188" s="20">
        <v>4597.9799999999996</v>
      </c>
      <c r="E188" s="20">
        <v>64.14</v>
      </c>
      <c r="F188" s="15">
        <v>60.87</v>
      </c>
      <c r="G188" s="15">
        <v>0</v>
      </c>
      <c r="H188" s="15">
        <v>0</v>
      </c>
      <c r="I188" s="15">
        <v>0</v>
      </c>
      <c r="J188" s="20">
        <f>SUM(D188:I188)</f>
        <v>4722.99</v>
      </c>
      <c r="K188" s="8"/>
      <c r="L188" s="8"/>
    </row>
    <row r="189" spans="1:12" ht="15.75" thickBot="1">
      <c r="A189" s="8"/>
      <c r="B189" s="8"/>
      <c r="C189" s="8" t="s">
        <v>13</v>
      </c>
      <c r="D189" s="29">
        <v>76.540000000000006</v>
      </c>
      <c r="E189" s="29">
        <v>1.26</v>
      </c>
      <c r="F189" s="28">
        <v>1.2</v>
      </c>
      <c r="G189" s="28">
        <v>0</v>
      </c>
      <c r="H189" s="28">
        <v>0</v>
      </c>
      <c r="I189" s="28">
        <v>0</v>
      </c>
      <c r="J189" s="29">
        <f>SUM(D189:I189)</f>
        <v>79.000000000000014</v>
      </c>
      <c r="K189" s="8"/>
      <c r="L189" s="8"/>
    </row>
    <row r="190" spans="1:12">
      <c r="A190" s="8"/>
      <c r="B190" s="8"/>
      <c r="C190" s="8"/>
      <c r="D190" s="20"/>
      <c r="E190" s="20"/>
      <c r="F190" s="15"/>
      <c r="G190" s="15"/>
      <c r="H190" s="15"/>
      <c r="I190" s="15"/>
      <c r="J190" s="20"/>
      <c r="K190" s="8"/>
      <c r="L190" s="8"/>
    </row>
    <row r="191" spans="1:12" ht="15.75" thickBot="1">
      <c r="A191" s="8"/>
      <c r="B191" s="8"/>
      <c r="C191" s="8" t="s">
        <v>10</v>
      </c>
      <c r="D191" s="31">
        <f t="shared" ref="D191:I191" si="29">SUM(D188:D189)</f>
        <v>4674.5199999999995</v>
      </c>
      <c r="E191" s="31">
        <f t="shared" si="29"/>
        <v>65.400000000000006</v>
      </c>
      <c r="F191" s="30">
        <f t="shared" si="29"/>
        <v>62.07</v>
      </c>
      <c r="G191" s="30">
        <f t="shared" si="29"/>
        <v>0</v>
      </c>
      <c r="H191" s="30">
        <f t="shared" si="29"/>
        <v>0</v>
      </c>
      <c r="I191" s="30">
        <f t="shared" si="29"/>
        <v>0</v>
      </c>
      <c r="J191" s="31">
        <f>SUM(D191:I191)</f>
        <v>4801.9899999999989</v>
      </c>
      <c r="K191" s="8"/>
      <c r="L191" s="8"/>
    </row>
    <row r="192" spans="1:12" ht="15.75" thickTop="1">
      <c r="A192" s="8"/>
      <c r="B192" s="8"/>
      <c r="C192" s="8"/>
      <c r="D192" s="20"/>
      <c r="E192" s="20"/>
      <c r="F192" s="15"/>
      <c r="G192" s="15"/>
      <c r="H192" s="15"/>
      <c r="I192" s="15"/>
      <c r="J192" s="20"/>
      <c r="K192" s="8"/>
      <c r="L192" s="8"/>
    </row>
    <row r="193" spans="1:12">
      <c r="A193" s="8"/>
      <c r="B193" s="8"/>
      <c r="C193" s="8"/>
      <c r="D193" s="20"/>
      <c r="E193" s="20"/>
      <c r="F193" s="15"/>
      <c r="G193" s="15"/>
      <c r="H193" s="15"/>
      <c r="I193" s="15"/>
      <c r="J193" s="20"/>
      <c r="K193" s="8"/>
      <c r="L193" s="8"/>
    </row>
    <row r="194" spans="1:12">
      <c r="A194" s="8">
        <v>51</v>
      </c>
      <c r="B194" s="8" t="s">
        <v>45</v>
      </c>
      <c r="C194" s="8" t="s">
        <v>12</v>
      </c>
      <c r="D194" s="20">
        <v>9448.02</v>
      </c>
      <c r="E194" s="20">
        <v>272.86</v>
      </c>
      <c r="F194" s="15">
        <v>1.71</v>
      </c>
      <c r="G194" s="15">
        <v>0</v>
      </c>
      <c r="H194" s="15">
        <v>0</v>
      </c>
      <c r="I194" s="15">
        <v>0</v>
      </c>
      <c r="J194" s="20">
        <f>SUM(D194:I194)</f>
        <v>9722.59</v>
      </c>
      <c r="K194" s="8"/>
      <c r="L194" s="8"/>
    </row>
    <row r="195" spans="1:12" hidden="1">
      <c r="A195" s="8"/>
      <c r="B195" s="8"/>
      <c r="C195" s="8" t="s">
        <v>13</v>
      </c>
      <c r="D195" s="20"/>
      <c r="E195" s="20"/>
      <c r="F195" s="15"/>
      <c r="G195" s="15"/>
      <c r="H195" s="15"/>
      <c r="I195" s="15"/>
      <c r="J195" s="20">
        <f>SUM(D195:I195)</f>
        <v>0</v>
      </c>
      <c r="K195" s="8"/>
      <c r="L195" s="8"/>
    </row>
    <row r="196" spans="1:12" ht="15.75" thickBot="1">
      <c r="A196" s="8"/>
      <c r="B196" s="8"/>
      <c r="C196" s="8" t="s">
        <v>46</v>
      </c>
      <c r="D196" s="29">
        <v>189.52</v>
      </c>
      <c r="E196" s="29">
        <v>5.47</v>
      </c>
      <c r="F196" s="28">
        <v>0.09</v>
      </c>
      <c r="G196" s="28">
        <v>0</v>
      </c>
      <c r="H196" s="28">
        <v>0</v>
      </c>
      <c r="I196" s="28">
        <v>0</v>
      </c>
      <c r="J196" s="29">
        <f>SUM(D196:I196)</f>
        <v>195.08</v>
      </c>
      <c r="K196" s="8"/>
      <c r="L196" s="8"/>
    </row>
    <row r="197" spans="1:12">
      <c r="A197" s="8"/>
      <c r="B197" s="8"/>
      <c r="C197" s="8"/>
      <c r="D197" s="20"/>
      <c r="E197" s="20"/>
      <c r="F197" s="15"/>
      <c r="G197" s="15"/>
      <c r="H197" s="15"/>
      <c r="I197" s="15"/>
      <c r="J197" s="20"/>
      <c r="K197" s="8"/>
      <c r="L197" s="8"/>
    </row>
    <row r="198" spans="1:12" ht="15.75" thickBot="1">
      <c r="A198" s="8"/>
      <c r="B198" s="8"/>
      <c r="C198" s="8" t="s">
        <v>10</v>
      </c>
      <c r="D198" s="31">
        <f t="shared" ref="D198:I198" si="30">SUM(D194:D196)</f>
        <v>9637.5400000000009</v>
      </c>
      <c r="E198" s="31">
        <f t="shared" si="30"/>
        <v>278.33000000000004</v>
      </c>
      <c r="F198" s="30">
        <f t="shared" si="30"/>
        <v>1.8</v>
      </c>
      <c r="G198" s="30">
        <f t="shared" si="30"/>
        <v>0</v>
      </c>
      <c r="H198" s="30">
        <f t="shared" si="30"/>
        <v>0</v>
      </c>
      <c r="I198" s="30">
        <f t="shared" si="30"/>
        <v>0</v>
      </c>
      <c r="J198" s="31">
        <f>SUM(D198:I198)</f>
        <v>9917.67</v>
      </c>
      <c r="K198" s="8"/>
      <c r="L198" s="8"/>
    </row>
    <row r="199" spans="1:12" ht="15.75" thickTop="1">
      <c r="A199" s="8"/>
      <c r="B199" s="8"/>
      <c r="C199" s="8"/>
      <c r="D199" s="20"/>
      <c r="E199" s="20"/>
      <c r="F199" s="15"/>
      <c r="G199" s="15"/>
      <c r="H199" s="15"/>
      <c r="I199" s="15"/>
      <c r="J199" s="20"/>
      <c r="K199" s="8"/>
      <c r="L199" s="8"/>
    </row>
    <row r="200" spans="1:12">
      <c r="A200" s="8"/>
      <c r="B200" s="8"/>
      <c r="C200" s="8"/>
      <c r="D200" s="20"/>
      <c r="E200" s="20"/>
      <c r="F200" s="15"/>
      <c r="G200" s="15"/>
      <c r="H200" s="15"/>
      <c r="I200" s="15"/>
      <c r="J200" s="20"/>
      <c r="K200" s="8"/>
      <c r="L200" s="8"/>
    </row>
    <row r="201" spans="1:12">
      <c r="A201" s="8">
        <v>52</v>
      </c>
      <c r="B201" s="8" t="s">
        <v>47</v>
      </c>
      <c r="C201" s="8" t="s">
        <v>12</v>
      </c>
      <c r="D201" s="25">
        <v>10632.66</v>
      </c>
      <c r="E201" s="45">
        <v>0.65</v>
      </c>
      <c r="F201" s="24">
        <v>0</v>
      </c>
      <c r="G201" s="24">
        <v>0</v>
      </c>
      <c r="H201" s="24">
        <v>0</v>
      </c>
      <c r="I201" s="24">
        <v>0</v>
      </c>
      <c r="J201" s="25">
        <f>SUM(D201:I201)</f>
        <v>10633.31</v>
      </c>
      <c r="K201" s="8"/>
      <c r="L201" s="8"/>
    </row>
    <row r="202" spans="1:12" ht="15.75" hidden="1" thickBot="1">
      <c r="A202" s="8"/>
      <c r="B202" s="8"/>
      <c r="C202" s="8" t="s">
        <v>13</v>
      </c>
      <c r="D202" s="29"/>
      <c r="E202" s="34"/>
      <c r="F202" s="28"/>
      <c r="G202" s="28"/>
      <c r="H202" s="28"/>
      <c r="I202" s="28"/>
      <c r="J202" s="34">
        <v>0</v>
      </c>
      <c r="K202" s="8"/>
      <c r="L202" s="8"/>
    </row>
    <row r="203" spans="1:12">
      <c r="A203" s="8"/>
      <c r="B203" s="8"/>
      <c r="C203" s="8"/>
      <c r="D203" s="20"/>
      <c r="E203" s="35"/>
      <c r="F203" s="15"/>
      <c r="G203" s="15"/>
      <c r="H203" s="15"/>
      <c r="I203" s="15"/>
      <c r="J203" s="20"/>
      <c r="K203" s="8"/>
      <c r="L203" s="8"/>
    </row>
    <row r="204" spans="1:12" ht="15.75" thickBot="1">
      <c r="A204" s="8"/>
      <c r="B204" s="8"/>
      <c r="C204" s="8" t="s">
        <v>10</v>
      </c>
      <c r="D204" s="31">
        <f t="shared" ref="D204:I204" si="31">SUM(D201:D202)</f>
        <v>10632.66</v>
      </c>
      <c r="E204" s="44">
        <f t="shared" si="31"/>
        <v>0.65</v>
      </c>
      <c r="F204" s="30">
        <f t="shared" si="31"/>
        <v>0</v>
      </c>
      <c r="G204" s="30">
        <f t="shared" si="31"/>
        <v>0</v>
      </c>
      <c r="H204" s="30">
        <f t="shared" si="31"/>
        <v>0</v>
      </c>
      <c r="I204" s="30">
        <f t="shared" si="31"/>
        <v>0</v>
      </c>
      <c r="J204" s="31">
        <f>SUM(D204:I204)</f>
        <v>10633.31</v>
      </c>
      <c r="K204" s="8"/>
      <c r="L204" s="8"/>
    </row>
    <row r="205" spans="1:12" ht="15.75" thickTop="1">
      <c r="A205" s="8"/>
      <c r="B205" s="8"/>
      <c r="C205" s="8"/>
      <c r="D205" s="20"/>
      <c r="E205" s="20"/>
      <c r="F205" s="15"/>
      <c r="G205" s="15"/>
      <c r="H205" s="15"/>
      <c r="I205" s="15"/>
      <c r="J205" s="20"/>
      <c r="K205" s="8"/>
      <c r="L205" s="8"/>
    </row>
    <row r="206" spans="1:12">
      <c r="A206" s="8"/>
      <c r="B206" s="8"/>
      <c r="C206" s="8"/>
      <c r="D206" s="20"/>
      <c r="E206" s="20"/>
      <c r="F206" s="15"/>
      <c r="G206" s="15"/>
      <c r="H206" s="15"/>
      <c r="I206" s="15"/>
      <c r="J206" s="20"/>
      <c r="K206" s="8"/>
      <c r="L206" s="8"/>
    </row>
    <row r="207" spans="1:12">
      <c r="A207" s="8">
        <v>53</v>
      </c>
      <c r="B207" s="8" t="s">
        <v>48</v>
      </c>
      <c r="C207" s="8" t="s">
        <v>12</v>
      </c>
      <c r="D207" s="20">
        <v>20223.310000000001</v>
      </c>
      <c r="E207" s="20">
        <v>59.6</v>
      </c>
      <c r="F207" s="15">
        <v>0</v>
      </c>
      <c r="G207" s="15">
        <v>0</v>
      </c>
      <c r="H207" s="15">
        <v>0</v>
      </c>
      <c r="I207" s="15">
        <v>0</v>
      </c>
      <c r="J207" s="20">
        <f>SUM(D207:I207)</f>
        <v>20282.91</v>
      </c>
      <c r="K207" s="8"/>
      <c r="L207" s="8"/>
    </row>
    <row r="208" spans="1:12">
      <c r="A208" s="8"/>
      <c r="B208" s="8"/>
      <c r="C208" s="8" t="s">
        <v>35</v>
      </c>
      <c r="D208" s="20">
        <v>1123.28</v>
      </c>
      <c r="E208" s="20">
        <v>3.28</v>
      </c>
      <c r="F208" s="15">
        <v>0</v>
      </c>
      <c r="G208" s="15">
        <v>0</v>
      </c>
      <c r="H208" s="15">
        <v>0</v>
      </c>
      <c r="I208" s="15">
        <v>0</v>
      </c>
      <c r="J208" s="20">
        <f>SUM(D208:I208)</f>
        <v>1126.56</v>
      </c>
      <c r="K208" s="8"/>
      <c r="L208" s="8"/>
    </row>
    <row r="209" spans="1:12">
      <c r="A209" s="8"/>
      <c r="B209" s="8"/>
      <c r="C209" s="8" t="s">
        <v>97</v>
      </c>
      <c r="D209" s="20">
        <v>438.07</v>
      </c>
      <c r="E209" s="20">
        <v>1.59</v>
      </c>
      <c r="F209" s="15">
        <v>0</v>
      </c>
      <c r="G209" s="15">
        <v>0</v>
      </c>
      <c r="H209" s="15">
        <v>0</v>
      </c>
      <c r="I209" s="15">
        <v>0</v>
      </c>
      <c r="J209" s="20">
        <f>SUM(D209:I209)</f>
        <v>439.65999999999997</v>
      </c>
      <c r="K209" s="8"/>
      <c r="L209" s="8"/>
    </row>
    <row r="210" spans="1:12" ht="15.75" thickBot="1">
      <c r="A210" s="8"/>
      <c r="B210" s="8"/>
      <c r="C210" s="8" t="s">
        <v>98</v>
      </c>
      <c r="D210" s="29">
        <v>3370.31</v>
      </c>
      <c r="E210" s="29">
        <v>9.44</v>
      </c>
      <c r="F210" s="28">
        <v>0</v>
      </c>
      <c r="G210" s="28">
        <v>0</v>
      </c>
      <c r="H210" s="28">
        <v>0</v>
      </c>
      <c r="I210" s="28">
        <v>0</v>
      </c>
      <c r="J210" s="29">
        <f>SUM(D210:I210)</f>
        <v>3379.75</v>
      </c>
      <c r="K210" s="8"/>
      <c r="L210" s="8"/>
    </row>
    <row r="211" spans="1:12">
      <c r="A211" s="8"/>
      <c r="B211" s="8"/>
      <c r="C211" s="8"/>
      <c r="D211" s="20"/>
      <c r="E211" s="20"/>
      <c r="F211" s="15"/>
      <c r="G211" s="15"/>
      <c r="H211" s="15"/>
      <c r="I211" s="15"/>
      <c r="J211" s="20"/>
      <c r="K211" s="8"/>
      <c r="L211" s="8"/>
    </row>
    <row r="212" spans="1:12" ht="15.75" thickBot="1">
      <c r="A212" s="8"/>
      <c r="B212" s="8"/>
      <c r="C212" s="8" t="s">
        <v>10</v>
      </c>
      <c r="D212" s="31">
        <f>SUM(D207:D211)</f>
        <v>25154.97</v>
      </c>
      <c r="E212" s="31">
        <f t="shared" ref="E212:J212" si="32">SUM(E207:E211)</f>
        <v>73.91</v>
      </c>
      <c r="F212" s="30">
        <f t="shared" si="32"/>
        <v>0</v>
      </c>
      <c r="G212" s="30">
        <f t="shared" si="32"/>
        <v>0</v>
      </c>
      <c r="H212" s="30">
        <f t="shared" si="32"/>
        <v>0</v>
      </c>
      <c r="I212" s="30">
        <f t="shared" si="32"/>
        <v>0</v>
      </c>
      <c r="J212" s="30">
        <f t="shared" si="32"/>
        <v>25228.880000000001</v>
      </c>
      <c r="K212" s="8"/>
      <c r="L212" s="8"/>
    </row>
    <row r="213" spans="1:12" ht="15.75" thickTop="1">
      <c r="A213" s="8"/>
      <c r="B213" s="8"/>
      <c r="C213" s="8"/>
      <c r="D213" s="20"/>
      <c r="E213" s="20"/>
      <c r="F213" s="15"/>
      <c r="G213" s="15"/>
      <c r="H213" s="15"/>
      <c r="I213" s="15"/>
      <c r="J213" s="20"/>
      <c r="K213" s="8"/>
      <c r="L213" s="8"/>
    </row>
    <row r="214" spans="1:12">
      <c r="A214" s="8"/>
      <c r="B214" s="8"/>
      <c r="C214" s="8"/>
      <c r="D214" s="20"/>
      <c r="E214" s="20"/>
      <c r="F214" s="15"/>
      <c r="G214" s="15"/>
      <c r="H214" s="15"/>
      <c r="I214" s="15"/>
      <c r="J214" s="20"/>
      <c r="K214" s="8"/>
      <c r="L214" s="8"/>
    </row>
    <row r="215" spans="1:12">
      <c r="A215" s="8">
        <v>54</v>
      </c>
      <c r="B215" s="8" t="s">
        <v>49</v>
      </c>
      <c r="C215" s="8" t="s">
        <v>12</v>
      </c>
      <c r="D215" s="25">
        <v>7239.68</v>
      </c>
      <c r="E215" s="45">
        <v>0</v>
      </c>
      <c r="F215" s="24">
        <v>0</v>
      </c>
      <c r="G215" s="24">
        <v>0</v>
      </c>
      <c r="H215" s="24">
        <v>0</v>
      </c>
      <c r="I215" s="24">
        <v>0</v>
      </c>
      <c r="J215" s="25">
        <f>SUM(D215:I215)</f>
        <v>7239.68</v>
      </c>
      <c r="K215" s="8"/>
      <c r="L215" s="8"/>
    </row>
    <row r="216" spans="1:12" ht="15.75" hidden="1" thickBot="1">
      <c r="A216" s="8"/>
      <c r="B216" s="8"/>
      <c r="C216" s="8" t="s">
        <v>104</v>
      </c>
      <c r="D216" s="29"/>
      <c r="E216" s="34"/>
      <c r="F216" s="28"/>
      <c r="G216" s="28"/>
      <c r="H216" s="28"/>
      <c r="I216" s="28"/>
      <c r="J216" s="29">
        <f>SUM(D216:I216)</f>
        <v>0</v>
      </c>
      <c r="K216" s="8"/>
      <c r="L216" s="8"/>
    </row>
    <row r="217" spans="1:12">
      <c r="A217" s="8"/>
      <c r="B217" s="8"/>
      <c r="C217" s="8"/>
      <c r="D217" s="20"/>
      <c r="E217" s="35"/>
      <c r="F217" s="15"/>
      <c r="G217" s="15"/>
      <c r="H217" s="15"/>
      <c r="I217" s="15"/>
      <c r="J217" s="20"/>
      <c r="K217" s="8"/>
      <c r="L217" s="8"/>
    </row>
    <row r="218" spans="1:12" ht="15.75" thickBot="1">
      <c r="A218" s="8"/>
      <c r="B218" s="8"/>
      <c r="C218" s="8" t="s">
        <v>10</v>
      </c>
      <c r="D218" s="31">
        <f t="shared" ref="D218:I218" si="33">SUM(D215:D217)</f>
        <v>7239.68</v>
      </c>
      <c r="E218" s="44">
        <f t="shared" si="33"/>
        <v>0</v>
      </c>
      <c r="F218" s="30">
        <f t="shared" si="33"/>
        <v>0</v>
      </c>
      <c r="G218" s="30">
        <f t="shared" si="33"/>
        <v>0</v>
      </c>
      <c r="H218" s="30">
        <f t="shared" si="33"/>
        <v>0</v>
      </c>
      <c r="I218" s="30">
        <f t="shared" si="33"/>
        <v>0</v>
      </c>
      <c r="J218" s="31">
        <f>SUM(D218:I218)</f>
        <v>7239.68</v>
      </c>
      <c r="K218" s="8"/>
      <c r="L218" s="8"/>
    </row>
    <row r="219" spans="1:12" ht="15.75" thickTop="1">
      <c r="A219" s="8"/>
      <c r="B219" s="8"/>
      <c r="C219" s="8"/>
      <c r="D219" s="20"/>
      <c r="E219" s="20"/>
      <c r="F219" s="15"/>
      <c r="G219" s="15"/>
      <c r="H219" s="15"/>
      <c r="I219" s="15"/>
      <c r="J219" s="20"/>
      <c r="K219" s="8"/>
      <c r="L219" s="8"/>
    </row>
    <row r="220" spans="1:12">
      <c r="A220" s="8"/>
      <c r="B220" s="8"/>
      <c r="C220" s="8"/>
      <c r="D220" s="20"/>
      <c r="E220" s="20"/>
      <c r="F220" s="15"/>
      <c r="G220" s="15"/>
      <c r="H220" s="15"/>
      <c r="I220" s="15"/>
      <c r="J220" s="20"/>
      <c r="K220" s="8"/>
      <c r="L220" s="8"/>
    </row>
    <row r="221" spans="1:12">
      <c r="A221" s="8">
        <v>55</v>
      </c>
      <c r="B221" s="8" t="s">
        <v>50</v>
      </c>
      <c r="C221" s="8" t="s">
        <v>12</v>
      </c>
      <c r="D221" s="20">
        <v>20567.14</v>
      </c>
      <c r="E221" s="20">
        <v>251.42</v>
      </c>
      <c r="F221" s="15">
        <v>13.15</v>
      </c>
      <c r="G221" s="15">
        <v>0</v>
      </c>
      <c r="H221" s="15">
        <v>0</v>
      </c>
      <c r="I221" s="15">
        <v>0</v>
      </c>
      <c r="J221" s="20">
        <f>SUM(D221:I221)</f>
        <v>20831.71</v>
      </c>
      <c r="K221" s="8"/>
      <c r="L221" s="8"/>
    </row>
    <row r="222" spans="1:12" ht="15.75" thickBot="1">
      <c r="A222" s="8"/>
      <c r="B222" s="8"/>
      <c r="C222" s="8" t="s">
        <v>13</v>
      </c>
      <c r="D222" s="29">
        <v>468.46</v>
      </c>
      <c r="E222" s="29">
        <v>5.03</v>
      </c>
      <c r="F222" s="28">
        <v>0.41</v>
      </c>
      <c r="G222" s="28">
        <v>0</v>
      </c>
      <c r="H222" s="28">
        <v>0</v>
      </c>
      <c r="I222" s="28">
        <v>0</v>
      </c>
      <c r="J222" s="29">
        <f>SUM(D222:I222)</f>
        <v>473.9</v>
      </c>
      <c r="K222" s="8"/>
      <c r="L222" s="8"/>
    </row>
    <row r="223" spans="1:12">
      <c r="A223" s="8"/>
      <c r="B223" s="8"/>
      <c r="C223" s="8"/>
      <c r="D223" s="20"/>
      <c r="E223" s="20"/>
      <c r="F223" s="15"/>
      <c r="G223" s="15"/>
      <c r="H223" s="15"/>
      <c r="I223" s="15"/>
      <c r="J223" s="20"/>
      <c r="K223" s="8"/>
      <c r="L223" s="8"/>
    </row>
    <row r="224" spans="1:12" ht="15.75" thickBot="1">
      <c r="A224" s="8"/>
      <c r="B224" s="8"/>
      <c r="C224" s="8" t="s">
        <v>10</v>
      </c>
      <c r="D224" s="31">
        <f t="shared" ref="D224:I224" si="34">SUM(D221:D222)</f>
        <v>21035.599999999999</v>
      </c>
      <c r="E224" s="31">
        <f t="shared" si="34"/>
        <v>256.45</v>
      </c>
      <c r="F224" s="30">
        <f t="shared" si="34"/>
        <v>13.56</v>
      </c>
      <c r="G224" s="30">
        <f t="shared" si="34"/>
        <v>0</v>
      </c>
      <c r="H224" s="30">
        <f t="shared" si="34"/>
        <v>0</v>
      </c>
      <c r="I224" s="30">
        <f t="shared" si="34"/>
        <v>0</v>
      </c>
      <c r="J224" s="31">
        <f>SUM(D224:I224)</f>
        <v>21305.61</v>
      </c>
      <c r="K224" s="8"/>
      <c r="L224" s="8"/>
    </row>
    <row r="225" spans="1:12" ht="15.75" thickTop="1">
      <c r="A225" s="8"/>
      <c r="B225" s="8"/>
      <c r="C225" s="8"/>
      <c r="D225" s="20"/>
      <c r="E225" s="20"/>
      <c r="F225" s="15"/>
      <c r="G225" s="15"/>
      <c r="H225" s="15"/>
      <c r="I225" s="15"/>
      <c r="J225" s="20"/>
      <c r="K225" s="8"/>
      <c r="L225" s="8"/>
    </row>
    <row r="226" spans="1:12">
      <c r="A226" s="8"/>
      <c r="B226" s="8"/>
      <c r="C226" s="8"/>
      <c r="D226" s="20"/>
      <c r="E226" s="20"/>
      <c r="F226" s="15"/>
      <c r="G226" s="15"/>
      <c r="H226" s="15"/>
      <c r="I226" s="15"/>
      <c r="J226" s="20"/>
      <c r="K226" s="8"/>
      <c r="L226" s="8"/>
    </row>
    <row r="227" spans="1:12">
      <c r="A227" s="8">
        <v>56</v>
      </c>
      <c r="B227" s="8" t="s">
        <v>51</v>
      </c>
      <c r="C227" s="8" t="s">
        <v>12</v>
      </c>
      <c r="D227" s="20">
        <v>9620.77</v>
      </c>
      <c r="E227" s="35">
        <v>0</v>
      </c>
      <c r="F227" s="15">
        <v>0</v>
      </c>
      <c r="G227" s="15">
        <v>0</v>
      </c>
      <c r="H227" s="15">
        <v>0</v>
      </c>
      <c r="I227" s="15">
        <v>0</v>
      </c>
      <c r="J227" s="20">
        <f>SUM(D227:I227)</f>
        <v>9620.77</v>
      </c>
      <c r="K227" s="8"/>
      <c r="L227" s="8"/>
    </row>
    <row r="228" spans="1:12" ht="15.75" thickBot="1">
      <c r="A228" s="8"/>
      <c r="B228" s="8"/>
      <c r="C228" s="8" t="s">
        <v>13</v>
      </c>
      <c r="D228" s="29">
        <v>146.35</v>
      </c>
      <c r="E228" s="34">
        <v>0</v>
      </c>
      <c r="F228" s="28">
        <v>0</v>
      </c>
      <c r="G228" s="28">
        <v>0</v>
      </c>
      <c r="H228" s="28">
        <v>0</v>
      </c>
      <c r="I228" s="28">
        <v>0</v>
      </c>
      <c r="J228" s="29">
        <f>SUM(D228:I228)</f>
        <v>146.35</v>
      </c>
      <c r="K228" s="8"/>
      <c r="L228" s="8"/>
    </row>
    <row r="229" spans="1:12">
      <c r="A229" s="8"/>
      <c r="B229" s="8"/>
      <c r="C229" s="8"/>
      <c r="D229" s="20"/>
      <c r="E229" s="35"/>
      <c r="F229" s="15"/>
      <c r="G229" s="15"/>
      <c r="H229" s="15"/>
      <c r="I229" s="15"/>
      <c r="J229" s="20"/>
      <c r="K229" s="8"/>
      <c r="L229" s="8"/>
    </row>
    <row r="230" spans="1:12" ht="15.75" thickBot="1">
      <c r="A230" s="8"/>
      <c r="B230" s="8"/>
      <c r="C230" s="8" t="s">
        <v>10</v>
      </c>
      <c r="D230" s="31">
        <f t="shared" ref="D230:I230" si="35">SUM(D227:D228)</f>
        <v>9767.1200000000008</v>
      </c>
      <c r="E230" s="44">
        <f t="shared" si="35"/>
        <v>0</v>
      </c>
      <c r="F230" s="30">
        <f t="shared" si="35"/>
        <v>0</v>
      </c>
      <c r="G230" s="30">
        <f t="shared" si="35"/>
        <v>0</v>
      </c>
      <c r="H230" s="30">
        <f t="shared" si="35"/>
        <v>0</v>
      </c>
      <c r="I230" s="30">
        <f t="shared" si="35"/>
        <v>0</v>
      </c>
      <c r="J230" s="31">
        <f>SUM(D230:I230)</f>
        <v>9767.1200000000008</v>
      </c>
      <c r="K230" s="8"/>
      <c r="L230" s="8"/>
    </row>
    <row r="231" spans="1:12" ht="15.75" thickTop="1">
      <c r="A231" s="8"/>
      <c r="B231" s="8"/>
      <c r="C231" s="8"/>
      <c r="D231" s="20"/>
      <c r="E231" s="20"/>
      <c r="F231" s="15"/>
      <c r="G231" s="15"/>
      <c r="H231" s="15"/>
      <c r="I231" s="15"/>
      <c r="J231" s="20"/>
      <c r="K231" s="8"/>
      <c r="L231" s="8"/>
    </row>
    <row r="232" spans="1:12">
      <c r="A232" s="8"/>
      <c r="B232" s="8"/>
      <c r="C232" s="8"/>
      <c r="D232" s="20"/>
      <c r="E232" s="20"/>
      <c r="F232" s="15"/>
      <c r="G232" s="15"/>
      <c r="H232" s="15"/>
      <c r="I232" s="15"/>
      <c r="J232" s="20"/>
      <c r="K232" s="8"/>
      <c r="L232" s="8"/>
    </row>
    <row r="233" spans="1:12">
      <c r="A233" s="8">
        <v>57</v>
      </c>
      <c r="B233" s="8" t="s">
        <v>52</v>
      </c>
      <c r="C233" s="8" t="s">
        <v>12</v>
      </c>
      <c r="D233" s="20">
        <v>24703.98</v>
      </c>
      <c r="E233" s="20">
        <v>1058.27</v>
      </c>
      <c r="F233" s="15">
        <v>560.16</v>
      </c>
      <c r="G233" s="15">
        <v>6.87</v>
      </c>
      <c r="H233" s="15">
        <v>6.6</v>
      </c>
      <c r="I233" s="15">
        <v>6.25</v>
      </c>
      <c r="J233" s="20">
        <f>SUM(D233:I233)</f>
        <v>26342.129999999997</v>
      </c>
      <c r="K233" s="8"/>
      <c r="L233" s="8"/>
    </row>
    <row r="234" spans="1:12">
      <c r="A234" s="8"/>
      <c r="B234" s="8"/>
      <c r="C234" s="38" t="s">
        <v>13</v>
      </c>
      <c r="D234" s="20">
        <v>560.75</v>
      </c>
      <c r="E234" s="20">
        <v>21.58</v>
      </c>
      <c r="F234" s="15">
        <v>13.72</v>
      </c>
      <c r="G234" s="15">
        <v>0.21</v>
      </c>
      <c r="H234" s="15">
        <v>0.24</v>
      </c>
      <c r="I234" s="15">
        <v>0.05</v>
      </c>
      <c r="J234" s="20">
        <f t="shared" ref="J234:J235" si="36">SUM(D234:I234)</f>
        <v>596.55000000000007</v>
      </c>
      <c r="K234" s="8"/>
      <c r="L234" s="8"/>
    </row>
    <row r="235" spans="1:12">
      <c r="A235" s="8"/>
      <c r="B235" s="8"/>
      <c r="C235" s="38" t="s">
        <v>112</v>
      </c>
      <c r="D235" s="20">
        <v>1149.1400000000001</v>
      </c>
      <c r="E235" s="35">
        <v>49.25</v>
      </c>
      <c r="F235" s="15">
        <v>0</v>
      </c>
      <c r="G235" s="15">
        <v>0</v>
      </c>
      <c r="H235" s="15">
        <v>0</v>
      </c>
      <c r="I235" s="15">
        <v>0</v>
      </c>
      <c r="J235" s="20">
        <f t="shared" si="36"/>
        <v>1198.3900000000001</v>
      </c>
      <c r="K235" s="8"/>
      <c r="L235" s="8"/>
    </row>
    <row r="236" spans="1:12" ht="15.75" thickBot="1">
      <c r="A236" s="8"/>
      <c r="B236" s="8"/>
      <c r="C236" s="38" t="s">
        <v>109</v>
      </c>
      <c r="D236" s="29">
        <v>4117.3</v>
      </c>
      <c r="E236" s="34">
        <v>176.2</v>
      </c>
      <c r="F236" s="28">
        <v>0</v>
      </c>
      <c r="G236" s="28">
        <v>0</v>
      </c>
      <c r="H236" s="28">
        <v>0</v>
      </c>
      <c r="I236" s="28">
        <v>0</v>
      </c>
      <c r="J236" s="29">
        <f>SUM(D236:I236)</f>
        <v>4293.5</v>
      </c>
      <c r="K236" s="8"/>
      <c r="L236" s="8"/>
    </row>
    <row r="237" spans="1:12">
      <c r="A237" s="8"/>
      <c r="B237" s="8"/>
      <c r="C237" s="8"/>
      <c r="D237" s="20"/>
      <c r="E237" s="20"/>
      <c r="F237" s="15"/>
      <c r="G237" s="15"/>
      <c r="H237" s="15"/>
      <c r="I237" s="15"/>
      <c r="J237" s="20"/>
      <c r="K237" s="8"/>
      <c r="L237" s="8"/>
    </row>
    <row r="238" spans="1:12" ht="15.75" thickBot="1">
      <c r="A238" s="8"/>
      <c r="B238" s="8"/>
      <c r="C238" s="8" t="s">
        <v>10</v>
      </c>
      <c r="D238" s="31">
        <f t="shared" ref="D238:I238" si="37">SUM(D233:D236)</f>
        <v>30531.17</v>
      </c>
      <c r="E238" s="31">
        <f t="shared" si="37"/>
        <v>1305.3</v>
      </c>
      <c r="F238" s="30">
        <f t="shared" si="37"/>
        <v>573.88</v>
      </c>
      <c r="G238" s="30">
        <f t="shared" si="37"/>
        <v>7.08</v>
      </c>
      <c r="H238" s="30">
        <f t="shared" si="37"/>
        <v>6.84</v>
      </c>
      <c r="I238" s="30">
        <f t="shared" si="37"/>
        <v>6.3</v>
      </c>
      <c r="J238" s="31">
        <f>SUM(D238:I238)</f>
        <v>32430.57</v>
      </c>
      <c r="K238" s="8"/>
      <c r="L238" s="8"/>
    </row>
    <row r="239" spans="1:12" ht="15.75" thickTop="1">
      <c r="A239" s="8"/>
      <c r="B239" s="8"/>
      <c r="C239" s="8"/>
      <c r="D239" s="20"/>
      <c r="E239" s="20"/>
      <c r="F239" s="15"/>
      <c r="G239" s="15"/>
      <c r="H239" s="15"/>
      <c r="I239" s="15"/>
      <c r="J239" s="20"/>
      <c r="K239" s="8"/>
      <c r="L239" s="8"/>
    </row>
    <row r="240" spans="1:12">
      <c r="A240" s="8"/>
      <c r="B240" s="8"/>
      <c r="C240" s="8"/>
      <c r="D240" s="20"/>
      <c r="E240" s="20"/>
      <c r="F240" s="15"/>
      <c r="G240" s="15"/>
      <c r="H240" s="15"/>
      <c r="I240" s="15"/>
      <c r="J240" s="20"/>
      <c r="K240" s="8"/>
      <c r="L240" s="8"/>
    </row>
    <row r="241" spans="1:12">
      <c r="A241" s="8">
        <v>58</v>
      </c>
      <c r="B241" s="8" t="s">
        <v>53</v>
      </c>
      <c r="C241" s="8" t="s">
        <v>12</v>
      </c>
      <c r="D241" s="25">
        <v>14613.36</v>
      </c>
      <c r="E241" s="45">
        <v>133.74</v>
      </c>
      <c r="F241" s="24">
        <v>0</v>
      </c>
      <c r="G241" s="24">
        <v>0</v>
      </c>
      <c r="H241" s="24">
        <v>0</v>
      </c>
      <c r="I241" s="24">
        <v>0</v>
      </c>
      <c r="J241" s="25">
        <f>SUM(D241:I241)</f>
        <v>14747.1</v>
      </c>
      <c r="K241" s="8"/>
      <c r="L241" s="8"/>
    </row>
    <row r="242" spans="1:12" ht="15.75" hidden="1" thickBot="1">
      <c r="A242" s="8"/>
      <c r="B242" s="8"/>
      <c r="C242" s="8" t="s">
        <v>13</v>
      </c>
      <c r="D242" s="29"/>
      <c r="E242" s="34"/>
      <c r="F242" s="28"/>
      <c r="G242" s="28"/>
      <c r="H242" s="28"/>
      <c r="I242" s="28"/>
      <c r="J242" s="34">
        <v>0</v>
      </c>
      <c r="K242" s="8"/>
      <c r="L242" s="8"/>
    </row>
    <row r="243" spans="1:12">
      <c r="A243" s="8"/>
      <c r="B243" s="8"/>
      <c r="C243" s="8"/>
      <c r="D243" s="20"/>
      <c r="E243" s="35"/>
      <c r="F243" s="15"/>
      <c r="G243" s="15"/>
      <c r="H243" s="15"/>
      <c r="I243" s="15"/>
      <c r="J243" s="20"/>
      <c r="K243" s="8"/>
      <c r="L243" s="8"/>
    </row>
    <row r="244" spans="1:12" ht="15.75" thickBot="1">
      <c r="A244" s="8"/>
      <c r="B244" s="8"/>
      <c r="C244" s="8" t="s">
        <v>10</v>
      </c>
      <c r="D244" s="31">
        <f t="shared" ref="D244:I244" si="38">SUM(D241:D242)</f>
        <v>14613.36</v>
      </c>
      <c r="E244" s="44">
        <f t="shared" si="38"/>
        <v>133.74</v>
      </c>
      <c r="F244" s="30">
        <f t="shared" si="38"/>
        <v>0</v>
      </c>
      <c r="G244" s="30">
        <f t="shared" si="38"/>
        <v>0</v>
      </c>
      <c r="H244" s="30">
        <f t="shared" si="38"/>
        <v>0</v>
      </c>
      <c r="I244" s="30">
        <f t="shared" si="38"/>
        <v>0</v>
      </c>
      <c r="J244" s="31">
        <f>SUM(D244:I244)</f>
        <v>14747.1</v>
      </c>
      <c r="K244" s="8"/>
      <c r="L244" s="8"/>
    </row>
    <row r="245" spans="1:12" ht="15.75" thickTop="1">
      <c r="A245" s="8"/>
      <c r="B245" s="8"/>
      <c r="C245" s="8"/>
      <c r="D245" s="20"/>
      <c r="E245" s="20"/>
      <c r="F245" s="15"/>
      <c r="G245" s="15"/>
      <c r="H245" s="15"/>
      <c r="I245" s="15"/>
      <c r="J245" s="20"/>
      <c r="K245" s="8"/>
      <c r="L245" s="8"/>
    </row>
    <row r="246" spans="1:12">
      <c r="A246" s="8"/>
      <c r="B246" s="8"/>
      <c r="C246" s="8"/>
      <c r="D246" s="20"/>
      <c r="E246" s="20"/>
      <c r="F246" s="15"/>
      <c r="G246" s="15"/>
      <c r="H246" s="15"/>
      <c r="I246" s="15"/>
      <c r="J246" s="20"/>
      <c r="K246" s="8"/>
      <c r="L246" s="8"/>
    </row>
    <row r="247" spans="1:12">
      <c r="A247" s="8">
        <v>59</v>
      </c>
      <c r="B247" s="8" t="s">
        <v>54</v>
      </c>
      <c r="C247" s="8" t="s">
        <v>12</v>
      </c>
      <c r="D247" s="20">
        <v>22449.42</v>
      </c>
      <c r="E247" s="20">
        <v>220.39</v>
      </c>
      <c r="F247" s="15">
        <v>215.67</v>
      </c>
      <c r="G247" s="15">
        <v>1.54</v>
      </c>
      <c r="H247" s="15">
        <v>1.1599999999999999</v>
      </c>
      <c r="I247" s="15">
        <v>1.55</v>
      </c>
      <c r="J247" s="20">
        <f>SUM(D247:I247)</f>
        <v>22889.729999999996</v>
      </c>
      <c r="K247" s="8"/>
      <c r="L247" s="8"/>
    </row>
    <row r="248" spans="1:12" ht="15.75" thickBot="1">
      <c r="A248" s="8"/>
      <c r="B248" s="8"/>
      <c r="C248" s="8" t="s">
        <v>35</v>
      </c>
      <c r="D248" s="29">
        <v>1172.3499999999999</v>
      </c>
      <c r="E248" s="29">
        <v>12.19</v>
      </c>
      <c r="F248" s="28">
        <v>11.29</v>
      </c>
      <c r="G248" s="28">
        <v>0.16</v>
      </c>
      <c r="H248" s="28">
        <v>0.65</v>
      </c>
      <c r="I248" s="28">
        <v>0.14000000000000001</v>
      </c>
      <c r="J248" s="29">
        <f>SUM(D248:I248)</f>
        <v>1196.7800000000002</v>
      </c>
      <c r="K248" s="8"/>
      <c r="L248" s="8"/>
    </row>
    <row r="249" spans="1:12">
      <c r="A249" s="8"/>
      <c r="B249" s="8"/>
      <c r="C249" s="8"/>
      <c r="D249" s="20"/>
      <c r="E249" s="20"/>
      <c r="F249" s="15"/>
      <c r="G249" s="15"/>
      <c r="H249" s="15"/>
      <c r="I249" s="15"/>
      <c r="J249" s="20"/>
      <c r="K249" s="8"/>
      <c r="L249" s="8"/>
    </row>
    <row r="250" spans="1:12" ht="15.75" thickBot="1">
      <c r="A250" s="8"/>
      <c r="B250" s="8"/>
      <c r="C250" s="8" t="s">
        <v>10</v>
      </c>
      <c r="D250" s="31">
        <f t="shared" ref="D250:I250" si="39">SUM(D247:D248)</f>
        <v>23621.769999999997</v>
      </c>
      <c r="E250" s="31">
        <f t="shared" si="39"/>
        <v>232.57999999999998</v>
      </c>
      <c r="F250" s="30">
        <f t="shared" si="39"/>
        <v>226.95999999999998</v>
      </c>
      <c r="G250" s="30">
        <f t="shared" si="39"/>
        <v>1.7</v>
      </c>
      <c r="H250" s="30">
        <f t="shared" si="39"/>
        <v>1.81</v>
      </c>
      <c r="I250" s="30">
        <f t="shared" si="39"/>
        <v>1.69</v>
      </c>
      <c r="J250" s="31">
        <f>SUM(D250:I250)</f>
        <v>24086.51</v>
      </c>
      <c r="K250" s="8"/>
      <c r="L250" s="8"/>
    </row>
    <row r="251" spans="1:12" ht="15.75" thickTop="1">
      <c r="A251" s="8"/>
      <c r="B251" s="8"/>
      <c r="C251" s="8"/>
      <c r="D251" s="20"/>
      <c r="E251" s="20"/>
      <c r="F251" s="15"/>
      <c r="G251" s="15"/>
      <c r="H251" s="15"/>
      <c r="I251" s="15"/>
      <c r="J251" s="20"/>
      <c r="K251" s="8"/>
      <c r="L251" s="8"/>
    </row>
    <row r="252" spans="1:12">
      <c r="A252" s="8"/>
      <c r="B252" s="8"/>
      <c r="C252" s="8"/>
      <c r="D252" s="20"/>
      <c r="E252" s="20"/>
      <c r="F252" s="15"/>
      <c r="G252" s="15"/>
      <c r="H252" s="15"/>
      <c r="I252" s="15"/>
      <c r="J252" s="20"/>
      <c r="K252" s="8"/>
      <c r="L252" s="8"/>
    </row>
    <row r="253" spans="1:12">
      <c r="A253" s="8">
        <v>60</v>
      </c>
      <c r="B253" s="8" t="s">
        <v>55</v>
      </c>
      <c r="C253" s="8" t="s">
        <v>12</v>
      </c>
      <c r="D253" s="20">
        <v>60800.31</v>
      </c>
      <c r="E253" s="20">
        <v>1010.14</v>
      </c>
      <c r="F253" s="15">
        <v>363.25</v>
      </c>
      <c r="G253" s="15">
        <v>0</v>
      </c>
      <c r="H253" s="15">
        <v>0</v>
      </c>
      <c r="I253" s="15">
        <v>0</v>
      </c>
      <c r="J253" s="20">
        <f>SUM(D253:I253)</f>
        <v>62173.7</v>
      </c>
      <c r="K253" s="8"/>
      <c r="L253" s="8"/>
    </row>
    <row r="254" spans="1:12">
      <c r="A254" s="8"/>
      <c r="B254" s="8"/>
      <c r="C254" s="38" t="s">
        <v>35</v>
      </c>
      <c r="D254" s="20">
        <v>3100.44</v>
      </c>
      <c r="E254" s="35">
        <v>52.3</v>
      </c>
      <c r="F254" s="15">
        <v>17.45</v>
      </c>
      <c r="G254" s="15">
        <v>0</v>
      </c>
      <c r="H254" s="15">
        <v>0</v>
      </c>
      <c r="I254" s="15">
        <v>0</v>
      </c>
      <c r="J254" s="20">
        <f>SUM(D254:I254)</f>
        <v>3170.19</v>
      </c>
      <c r="K254" s="8"/>
      <c r="L254" s="8"/>
    </row>
    <row r="255" spans="1:12">
      <c r="A255" s="8"/>
      <c r="B255" s="8"/>
      <c r="C255" s="8" t="s">
        <v>97</v>
      </c>
      <c r="D255" s="20">
        <v>471.49</v>
      </c>
      <c r="E255" s="35">
        <v>8.74</v>
      </c>
      <c r="F255" s="15">
        <v>2.68</v>
      </c>
      <c r="G255" s="15">
        <v>0</v>
      </c>
      <c r="H255" s="15">
        <v>0</v>
      </c>
      <c r="I255" s="15">
        <v>0</v>
      </c>
      <c r="J255" s="20">
        <f>SUM(D255:I255)</f>
        <v>482.91</v>
      </c>
      <c r="K255" s="8"/>
      <c r="L255" s="8"/>
    </row>
    <row r="256" spans="1:12">
      <c r="A256" s="8"/>
      <c r="B256" s="8"/>
      <c r="C256" s="8" t="s">
        <v>98</v>
      </c>
      <c r="D256" s="25">
        <v>2291.42</v>
      </c>
      <c r="E256" s="45">
        <v>27.02</v>
      </c>
      <c r="F256" s="24">
        <v>10.25</v>
      </c>
      <c r="G256" s="24">
        <v>0</v>
      </c>
      <c r="H256" s="24">
        <v>0</v>
      </c>
      <c r="I256" s="24">
        <v>0</v>
      </c>
      <c r="J256" s="25">
        <f>SUM(D256:I256)</f>
        <v>2328.69</v>
      </c>
      <c r="K256" s="8"/>
      <c r="L256" s="8"/>
    </row>
    <row r="257" spans="1:12">
      <c r="A257" s="8"/>
      <c r="B257" s="8"/>
      <c r="C257" s="8"/>
      <c r="D257" s="20"/>
      <c r="E257" s="20"/>
      <c r="F257" s="15"/>
      <c r="G257" s="15"/>
      <c r="H257" s="15"/>
      <c r="I257" s="15"/>
      <c r="J257" s="20"/>
      <c r="K257" s="8"/>
      <c r="L257" s="8"/>
    </row>
    <row r="258" spans="1:12">
      <c r="A258" s="8"/>
      <c r="B258" s="8"/>
      <c r="C258" s="8"/>
      <c r="D258" s="20"/>
      <c r="E258" s="20"/>
      <c r="F258" s="15"/>
      <c r="G258" s="15"/>
      <c r="H258" s="15"/>
      <c r="I258" s="15"/>
      <c r="J258" s="20"/>
      <c r="K258" s="8"/>
      <c r="L258" s="8"/>
    </row>
    <row r="259" spans="1:12" ht="15.75" thickBot="1">
      <c r="A259" s="8"/>
      <c r="B259" s="8"/>
      <c r="C259" s="8" t="s">
        <v>10</v>
      </c>
      <c r="D259" s="31">
        <f t="shared" ref="D259:I259" si="40">SUM(D253:D258)</f>
        <v>66663.66</v>
      </c>
      <c r="E259" s="31">
        <f t="shared" si="40"/>
        <v>1098.2</v>
      </c>
      <c r="F259" s="30">
        <f t="shared" si="40"/>
        <v>393.63</v>
      </c>
      <c r="G259" s="30">
        <f t="shared" si="40"/>
        <v>0</v>
      </c>
      <c r="H259" s="30">
        <f t="shared" si="40"/>
        <v>0</v>
      </c>
      <c r="I259" s="30">
        <f t="shared" si="40"/>
        <v>0</v>
      </c>
      <c r="J259" s="31">
        <f>SUM(D259:I259)</f>
        <v>68155.490000000005</v>
      </c>
      <c r="K259" s="8"/>
      <c r="L259" s="8"/>
    </row>
    <row r="260" spans="1:12" ht="15.75" thickTop="1">
      <c r="A260" s="8"/>
      <c r="B260" s="8"/>
      <c r="C260" s="8"/>
      <c r="D260" s="20"/>
      <c r="E260" s="20"/>
      <c r="F260" s="15"/>
      <c r="G260" s="15"/>
      <c r="H260" s="15"/>
      <c r="I260" s="15"/>
      <c r="J260" s="20"/>
      <c r="K260" s="8"/>
      <c r="L260" s="8"/>
    </row>
    <row r="261" spans="1:12">
      <c r="A261" s="8"/>
      <c r="B261" s="8"/>
      <c r="C261" s="8"/>
      <c r="D261" s="20"/>
      <c r="E261" s="20"/>
      <c r="F261" s="15"/>
      <c r="G261" s="15"/>
      <c r="H261" s="15"/>
      <c r="I261" s="15"/>
      <c r="J261" s="20"/>
      <c r="K261" s="8"/>
      <c r="L261" s="8"/>
    </row>
    <row r="262" spans="1:12">
      <c r="A262" s="8">
        <v>61</v>
      </c>
      <c r="B262" s="8" t="s">
        <v>56</v>
      </c>
      <c r="C262" s="8" t="s">
        <v>12</v>
      </c>
      <c r="D262" s="39">
        <v>1244.8800000000001</v>
      </c>
      <c r="E262" s="35">
        <v>8.15</v>
      </c>
      <c r="F262" s="15">
        <v>0</v>
      </c>
      <c r="G262" s="15">
        <v>0</v>
      </c>
      <c r="H262" s="15">
        <v>0</v>
      </c>
      <c r="I262" s="15">
        <v>0</v>
      </c>
      <c r="J262" s="20">
        <f>SUM(D262:I262)</f>
        <v>1253.0300000000002</v>
      </c>
      <c r="K262" s="8"/>
      <c r="L262" s="8"/>
    </row>
    <row r="263" spans="1:12">
      <c r="A263" s="8"/>
      <c r="B263" s="8"/>
      <c r="C263" s="8" t="s">
        <v>13</v>
      </c>
      <c r="D263" s="20">
        <v>187.35</v>
      </c>
      <c r="E263" s="35">
        <v>0.13</v>
      </c>
      <c r="F263" s="15">
        <v>0</v>
      </c>
      <c r="G263" s="15">
        <v>0</v>
      </c>
      <c r="H263" s="15">
        <v>0</v>
      </c>
      <c r="I263" s="15">
        <v>0</v>
      </c>
      <c r="J263" s="20">
        <f>SUM(D263:I263)</f>
        <v>187.48</v>
      </c>
      <c r="K263" s="8"/>
      <c r="L263" s="8"/>
    </row>
    <row r="264" spans="1:12" ht="15.75" thickBot="1">
      <c r="A264" s="8"/>
      <c r="B264" s="8"/>
      <c r="C264" s="8" t="s">
        <v>99</v>
      </c>
      <c r="D264" s="29">
        <v>764.74</v>
      </c>
      <c r="E264" s="34">
        <v>0.61</v>
      </c>
      <c r="F264" s="28">
        <v>0</v>
      </c>
      <c r="G264" s="28">
        <v>0</v>
      </c>
      <c r="H264" s="28">
        <v>0</v>
      </c>
      <c r="I264" s="28">
        <v>0</v>
      </c>
      <c r="J264" s="29">
        <f>SUM(D264:I264)</f>
        <v>765.35</v>
      </c>
      <c r="K264" s="8"/>
      <c r="L264" s="8"/>
    </row>
    <row r="265" spans="1:12">
      <c r="A265" s="8"/>
      <c r="B265" s="8"/>
      <c r="C265" s="8"/>
      <c r="D265" s="20"/>
      <c r="E265" s="35"/>
      <c r="F265" s="15"/>
      <c r="G265" s="15"/>
      <c r="H265" s="15"/>
      <c r="I265" s="15"/>
      <c r="J265" s="20"/>
      <c r="K265" s="8"/>
      <c r="L265" s="8"/>
    </row>
    <row r="266" spans="1:12" ht="15.75" thickBot="1">
      <c r="A266" s="8"/>
      <c r="B266" s="8"/>
      <c r="C266" s="8" t="s">
        <v>10</v>
      </c>
      <c r="D266" s="31">
        <f>SUM(D262:D264)</f>
        <v>2196.9700000000003</v>
      </c>
      <c r="E266" s="44">
        <f t="shared" ref="E266:J266" si="41">SUM(E262:E264)</f>
        <v>8.89</v>
      </c>
      <c r="F266" s="30">
        <f t="shared" si="41"/>
        <v>0</v>
      </c>
      <c r="G266" s="30">
        <f t="shared" si="41"/>
        <v>0</v>
      </c>
      <c r="H266" s="30">
        <f t="shared" si="41"/>
        <v>0</v>
      </c>
      <c r="I266" s="30">
        <f t="shared" si="41"/>
        <v>0</v>
      </c>
      <c r="J266" s="30">
        <f t="shared" si="41"/>
        <v>2205.86</v>
      </c>
      <c r="K266" s="8"/>
      <c r="L266" s="8"/>
    </row>
    <row r="267" spans="1:12" ht="15.75" thickTop="1">
      <c r="A267" s="8"/>
      <c r="B267" s="8"/>
      <c r="C267" s="8"/>
      <c r="D267" s="20"/>
      <c r="E267" s="35"/>
      <c r="F267" s="15"/>
      <c r="G267" s="15"/>
      <c r="H267" s="15"/>
      <c r="I267" s="15"/>
      <c r="J267" s="20"/>
      <c r="K267" s="8"/>
      <c r="L267" s="8"/>
    </row>
    <row r="268" spans="1:12">
      <c r="A268" s="8"/>
      <c r="B268" s="8"/>
      <c r="C268" s="8"/>
      <c r="D268" s="20"/>
      <c r="E268" s="35"/>
      <c r="F268" s="15"/>
      <c r="G268" s="15"/>
      <c r="H268" s="15"/>
      <c r="I268" s="15"/>
      <c r="J268" s="20"/>
      <c r="K268" s="8"/>
      <c r="L268" s="8"/>
    </row>
    <row r="269" spans="1:12">
      <c r="A269" s="8">
        <v>62</v>
      </c>
      <c r="B269" s="8" t="s">
        <v>57</v>
      </c>
      <c r="C269" s="8" t="s">
        <v>12</v>
      </c>
      <c r="D269" s="20">
        <v>5542.65</v>
      </c>
      <c r="E269" s="35">
        <v>0</v>
      </c>
      <c r="F269" s="15">
        <v>0</v>
      </c>
      <c r="G269" s="15">
        <v>0</v>
      </c>
      <c r="H269" s="15">
        <v>0</v>
      </c>
      <c r="I269" s="15">
        <v>0</v>
      </c>
      <c r="J269" s="20">
        <f>SUM(D269:I269)</f>
        <v>5542.65</v>
      </c>
      <c r="K269" s="8"/>
      <c r="L269" s="8"/>
    </row>
    <row r="270" spans="1:12" ht="15.75" thickBot="1">
      <c r="A270" s="8"/>
      <c r="B270" s="8"/>
      <c r="C270" s="8" t="s">
        <v>13</v>
      </c>
      <c r="D270" s="29">
        <v>85.91</v>
      </c>
      <c r="E270" s="34">
        <v>0</v>
      </c>
      <c r="F270" s="28">
        <v>0</v>
      </c>
      <c r="G270" s="28">
        <v>0</v>
      </c>
      <c r="H270" s="28">
        <v>0</v>
      </c>
      <c r="I270" s="28">
        <v>0</v>
      </c>
      <c r="J270" s="29">
        <f>SUM(D270:I270)</f>
        <v>85.91</v>
      </c>
      <c r="K270" s="8"/>
      <c r="L270" s="8"/>
    </row>
    <row r="271" spans="1:12">
      <c r="A271" s="8"/>
      <c r="B271" s="8"/>
      <c r="C271" s="8"/>
      <c r="D271" s="20"/>
      <c r="E271" s="35"/>
      <c r="F271" s="15"/>
      <c r="G271" s="15"/>
      <c r="H271" s="15"/>
      <c r="I271" s="15"/>
      <c r="J271" s="20"/>
      <c r="K271" s="8"/>
      <c r="L271" s="8"/>
    </row>
    <row r="272" spans="1:12" ht="15.75" thickBot="1">
      <c r="A272" s="8"/>
      <c r="B272" s="8"/>
      <c r="C272" s="8" t="s">
        <v>10</v>
      </c>
      <c r="D272" s="31">
        <f t="shared" ref="D272:I272" si="42">SUM(D269:D270)</f>
        <v>5628.5599999999995</v>
      </c>
      <c r="E272" s="44">
        <f t="shared" si="42"/>
        <v>0</v>
      </c>
      <c r="F272" s="30">
        <f t="shared" si="42"/>
        <v>0</v>
      </c>
      <c r="G272" s="30">
        <f t="shared" si="42"/>
        <v>0</v>
      </c>
      <c r="H272" s="30">
        <f t="shared" si="42"/>
        <v>0</v>
      </c>
      <c r="I272" s="30">
        <f t="shared" si="42"/>
        <v>0</v>
      </c>
      <c r="J272" s="31">
        <f>SUM(D272:I272)</f>
        <v>5628.5599999999995</v>
      </c>
      <c r="K272" s="8"/>
      <c r="L272" s="8"/>
    </row>
    <row r="273" spans="1:12" ht="15.75" thickTop="1">
      <c r="A273" s="8"/>
      <c r="B273" s="8"/>
      <c r="C273" s="8"/>
      <c r="D273" s="20"/>
      <c r="E273" s="20"/>
      <c r="F273" s="15"/>
      <c r="G273" s="15"/>
      <c r="H273" s="15"/>
      <c r="I273" s="15"/>
      <c r="J273" s="20"/>
      <c r="K273" s="8"/>
      <c r="L273" s="8"/>
    </row>
    <row r="274" spans="1:12">
      <c r="A274" s="8"/>
      <c r="B274" s="8"/>
      <c r="C274" s="8"/>
      <c r="D274" s="20"/>
      <c r="E274" s="20"/>
      <c r="F274" s="15"/>
      <c r="G274" s="15"/>
      <c r="H274" s="15"/>
      <c r="I274" s="15"/>
      <c r="J274" s="20"/>
      <c r="K274" s="8"/>
      <c r="L274" s="8"/>
    </row>
    <row r="275" spans="1:12">
      <c r="A275" s="8">
        <v>63</v>
      </c>
      <c r="B275" s="8" t="s">
        <v>58</v>
      </c>
      <c r="C275" s="8" t="s">
        <v>12</v>
      </c>
      <c r="D275" s="20">
        <v>12400.59</v>
      </c>
      <c r="E275" s="20">
        <v>313.3</v>
      </c>
      <c r="F275" s="15">
        <v>79.72</v>
      </c>
      <c r="G275" s="15">
        <v>0</v>
      </c>
      <c r="H275" s="15">
        <v>0</v>
      </c>
      <c r="I275" s="15">
        <v>0</v>
      </c>
      <c r="J275" s="20">
        <f>SUM(D275:I275)</f>
        <v>12793.609999999999</v>
      </c>
      <c r="K275" s="8"/>
      <c r="L275" s="8"/>
    </row>
    <row r="276" spans="1:12" ht="15.75" thickBot="1">
      <c r="A276" s="8"/>
      <c r="B276" s="8"/>
      <c r="C276" s="8" t="s">
        <v>13</v>
      </c>
      <c r="D276" s="29">
        <v>312.23</v>
      </c>
      <c r="E276" s="29">
        <v>7.66</v>
      </c>
      <c r="F276" s="28">
        <v>1.51</v>
      </c>
      <c r="G276" s="28">
        <v>0</v>
      </c>
      <c r="H276" s="28">
        <v>0</v>
      </c>
      <c r="I276" s="28">
        <v>0</v>
      </c>
      <c r="J276" s="29">
        <f>SUM(D276:I276)</f>
        <v>321.40000000000003</v>
      </c>
      <c r="K276" s="8"/>
      <c r="L276" s="8"/>
    </row>
    <row r="277" spans="1:12">
      <c r="A277" s="8"/>
      <c r="B277" s="8"/>
      <c r="C277" s="8"/>
      <c r="D277" s="20"/>
      <c r="E277" s="20"/>
      <c r="F277" s="15"/>
      <c r="G277" s="15"/>
      <c r="H277" s="15"/>
      <c r="I277" s="15"/>
      <c r="J277" s="20"/>
      <c r="K277" s="8"/>
      <c r="L277" s="8"/>
    </row>
    <row r="278" spans="1:12" ht="15.75" thickBot="1">
      <c r="A278" s="8"/>
      <c r="B278" s="8"/>
      <c r="C278" s="8" t="s">
        <v>10</v>
      </c>
      <c r="D278" s="31">
        <f t="shared" ref="D278:I278" si="43">SUM(D275:D276)</f>
        <v>12712.82</v>
      </c>
      <c r="E278" s="31">
        <f t="shared" si="43"/>
        <v>320.96000000000004</v>
      </c>
      <c r="F278" s="30">
        <f t="shared" si="43"/>
        <v>81.23</v>
      </c>
      <c r="G278" s="30">
        <f t="shared" si="43"/>
        <v>0</v>
      </c>
      <c r="H278" s="30">
        <f t="shared" si="43"/>
        <v>0</v>
      </c>
      <c r="I278" s="30">
        <f t="shared" si="43"/>
        <v>0</v>
      </c>
      <c r="J278" s="31">
        <f>SUM(D278:I278)</f>
        <v>13115.009999999998</v>
      </c>
      <c r="K278" s="8"/>
      <c r="L278" s="8"/>
    </row>
    <row r="279" spans="1:12" ht="15.75" thickTop="1">
      <c r="A279" s="8"/>
      <c r="B279" s="8"/>
      <c r="C279" s="8"/>
      <c r="D279" s="20"/>
      <c r="E279" s="20"/>
      <c r="F279" s="15"/>
      <c r="G279" s="15"/>
      <c r="H279" s="15"/>
      <c r="I279" s="15"/>
      <c r="J279" s="20"/>
      <c r="K279" s="8"/>
      <c r="L279" s="8"/>
    </row>
    <row r="280" spans="1:12">
      <c r="A280" s="8"/>
      <c r="B280" s="8"/>
      <c r="C280" s="8"/>
      <c r="D280" s="20"/>
      <c r="E280" s="20"/>
      <c r="F280" s="15"/>
      <c r="G280" s="15"/>
      <c r="H280" s="15"/>
      <c r="I280" s="15"/>
      <c r="J280" s="20"/>
      <c r="K280" s="8"/>
      <c r="L280" s="8"/>
    </row>
    <row r="281" spans="1:12" ht="15.75" thickBot="1">
      <c r="A281" s="8">
        <v>64</v>
      </c>
      <c r="B281" s="8" t="s">
        <v>59</v>
      </c>
      <c r="C281" s="8" t="s">
        <v>12</v>
      </c>
      <c r="D281" s="29">
        <v>63393.48</v>
      </c>
      <c r="E281" s="29">
        <v>826.81</v>
      </c>
      <c r="F281" s="28">
        <v>359.01</v>
      </c>
      <c r="G281" s="28">
        <v>37.21</v>
      </c>
      <c r="H281" s="28">
        <v>34.43</v>
      </c>
      <c r="I281" s="28">
        <v>26.43</v>
      </c>
      <c r="J281" s="29">
        <f>SUM(D281:I281)</f>
        <v>64677.37</v>
      </c>
      <c r="K281" s="8"/>
      <c r="L281" s="8"/>
    </row>
    <row r="282" spans="1:12">
      <c r="A282" s="8"/>
      <c r="B282" s="8"/>
      <c r="C282" s="8"/>
      <c r="D282" s="20"/>
      <c r="E282" s="20"/>
      <c r="F282" s="15"/>
      <c r="G282" s="15"/>
      <c r="H282" s="15"/>
      <c r="I282" s="15"/>
      <c r="J282" s="20"/>
      <c r="K282" s="8"/>
      <c r="L282" s="8"/>
    </row>
    <row r="283" spans="1:12" ht="15.75" thickBot="1">
      <c r="A283" s="8"/>
      <c r="B283" s="8"/>
      <c r="C283" s="8" t="s">
        <v>10</v>
      </c>
      <c r="D283" s="31">
        <f t="shared" ref="D283:I283" si="44">SUM(D281:D282)</f>
        <v>63393.48</v>
      </c>
      <c r="E283" s="31">
        <f t="shared" si="44"/>
        <v>826.81</v>
      </c>
      <c r="F283" s="30">
        <f t="shared" si="44"/>
        <v>359.01</v>
      </c>
      <c r="G283" s="30">
        <f t="shared" si="44"/>
        <v>37.21</v>
      </c>
      <c r="H283" s="30">
        <f t="shared" si="44"/>
        <v>34.43</v>
      </c>
      <c r="I283" s="30">
        <f t="shared" si="44"/>
        <v>26.43</v>
      </c>
      <c r="J283" s="31">
        <f>SUM(D283:I283)</f>
        <v>64677.37</v>
      </c>
      <c r="K283" s="8"/>
      <c r="L283" s="8"/>
    </row>
    <row r="284" spans="1:12" ht="15.75" thickTop="1">
      <c r="A284" s="8"/>
      <c r="B284" s="8"/>
      <c r="C284" s="8"/>
      <c r="D284" s="20"/>
      <c r="E284" s="20"/>
      <c r="F284" s="15"/>
      <c r="G284" s="15"/>
      <c r="H284" s="15"/>
      <c r="I284" s="15"/>
      <c r="J284" s="20"/>
      <c r="K284" s="8"/>
      <c r="L284" s="8"/>
    </row>
    <row r="285" spans="1:12">
      <c r="A285" s="8"/>
      <c r="B285" s="12"/>
      <c r="C285" s="12"/>
      <c r="D285" s="36"/>
      <c r="E285" s="36"/>
      <c r="F285" s="16"/>
      <c r="G285" s="13"/>
      <c r="H285" s="13"/>
      <c r="I285" s="13"/>
      <c r="J285" s="20"/>
      <c r="K285" s="8"/>
      <c r="L285" s="8"/>
    </row>
    <row r="286" spans="1:12">
      <c r="A286" s="8">
        <v>65</v>
      </c>
      <c r="B286" s="8" t="s">
        <v>60</v>
      </c>
      <c r="C286" s="8" t="s">
        <v>12</v>
      </c>
      <c r="D286" s="25">
        <v>11819.14</v>
      </c>
      <c r="E286" s="25">
        <v>195.25</v>
      </c>
      <c r="F286" s="24">
        <v>31.67</v>
      </c>
      <c r="G286" s="24">
        <v>0</v>
      </c>
      <c r="H286" s="24">
        <v>0</v>
      </c>
      <c r="I286" s="24">
        <v>0</v>
      </c>
      <c r="J286" s="25">
        <f>SUM(D286:I286)</f>
        <v>12046.06</v>
      </c>
      <c r="K286" s="8"/>
      <c r="L286" s="8"/>
    </row>
    <row r="287" spans="1:12" ht="15.75" hidden="1" thickBot="1">
      <c r="A287" s="8"/>
      <c r="B287" s="8"/>
      <c r="C287" s="8" t="s">
        <v>13</v>
      </c>
      <c r="D287" s="29"/>
      <c r="E287" s="29"/>
      <c r="F287" s="28"/>
      <c r="G287" s="28"/>
      <c r="H287" s="28"/>
      <c r="I287" s="28"/>
      <c r="J287" s="29"/>
      <c r="K287" s="8"/>
      <c r="L287" s="8"/>
    </row>
    <row r="288" spans="1:12">
      <c r="A288" s="8"/>
      <c r="B288" s="8"/>
      <c r="C288" s="8"/>
      <c r="D288" s="20"/>
      <c r="E288" s="20"/>
      <c r="F288" s="15"/>
      <c r="G288" s="15"/>
      <c r="H288" s="15"/>
      <c r="I288" s="15"/>
      <c r="J288" s="20"/>
      <c r="K288" s="8"/>
      <c r="L288" s="8"/>
    </row>
    <row r="289" spans="1:12" ht="15.75" thickBot="1">
      <c r="A289" s="8"/>
      <c r="B289" s="8"/>
      <c r="C289" s="8" t="s">
        <v>10</v>
      </c>
      <c r="D289" s="31">
        <f t="shared" ref="D289:I289" si="45">SUM(D286:D287)</f>
        <v>11819.14</v>
      </c>
      <c r="E289" s="31">
        <f t="shared" si="45"/>
        <v>195.25</v>
      </c>
      <c r="F289" s="30">
        <f t="shared" si="45"/>
        <v>31.67</v>
      </c>
      <c r="G289" s="30">
        <f t="shared" si="45"/>
        <v>0</v>
      </c>
      <c r="H289" s="30">
        <f t="shared" si="45"/>
        <v>0</v>
      </c>
      <c r="I289" s="30">
        <f t="shared" si="45"/>
        <v>0</v>
      </c>
      <c r="J289" s="31">
        <f>SUM(D289:I289)</f>
        <v>12046.06</v>
      </c>
      <c r="K289" s="8"/>
      <c r="L289" s="8"/>
    </row>
    <row r="290" spans="1:12" ht="15.75" thickTop="1">
      <c r="A290" s="8"/>
      <c r="B290" s="8"/>
      <c r="C290" s="8"/>
      <c r="D290" s="20"/>
      <c r="E290" s="20"/>
      <c r="F290" s="15"/>
      <c r="G290" s="15"/>
      <c r="H290" s="15"/>
      <c r="I290" s="15"/>
      <c r="J290" s="20"/>
      <c r="K290" s="8"/>
      <c r="L290" s="8"/>
    </row>
    <row r="291" spans="1:12">
      <c r="A291" s="8"/>
      <c r="B291" s="8"/>
      <c r="C291" s="8"/>
      <c r="D291" s="20"/>
      <c r="E291" s="20"/>
      <c r="F291" s="15"/>
      <c r="G291" s="15"/>
      <c r="H291" s="15"/>
      <c r="I291" s="15"/>
      <c r="J291" s="20"/>
      <c r="K291" s="8"/>
      <c r="L291" s="8"/>
    </row>
    <row r="292" spans="1:12">
      <c r="A292" s="8">
        <v>66</v>
      </c>
      <c r="B292" s="8" t="s">
        <v>61</v>
      </c>
      <c r="C292" s="8" t="s">
        <v>12</v>
      </c>
      <c r="D292" s="20">
        <v>8415.11</v>
      </c>
      <c r="E292" s="20">
        <v>177.99</v>
      </c>
      <c r="F292" s="15">
        <v>170.22</v>
      </c>
      <c r="G292" s="15">
        <v>0</v>
      </c>
      <c r="H292" s="15">
        <v>0</v>
      </c>
      <c r="I292" s="15">
        <v>0</v>
      </c>
      <c r="J292" s="20">
        <f>SUM(D292:I292)</f>
        <v>8763.32</v>
      </c>
      <c r="K292" s="8"/>
      <c r="L292" s="8"/>
    </row>
    <row r="293" spans="1:12">
      <c r="A293" s="8"/>
      <c r="B293" s="8"/>
      <c r="C293" s="38" t="s">
        <v>35</v>
      </c>
      <c r="D293" s="20">
        <v>593.77</v>
      </c>
      <c r="E293" s="35">
        <v>10.4</v>
      </c>
      <c r="F293" s="15">
        <v>0</v>
      </c>
      <c r="G293" s="15">
        <v>0</v>
      </c>
      <c r="H293" s="15">
        <v>0</v>
      </c>
      <c r="I293" s="15">
        <v>0</v>
      </c>
      <c r="J293" s="35">
        <f>SUM(D293:I293)</f>
        <v>604.16999999999996</v>
      </c>
      <c r="K293" s="8"/>
      <c r="L293" s="8"/>
    </row>
    <row r="294" spans="1:12">
      <c r="A294" s="8"/>
      <c r="B294" s="8"/>
      <c r="C294" s="38" t="s">
        <v>73</v>
      </c>
      <c r="D294" s="20">
        <v>528.61</v>
      </c>
      <c r="E294" s="20">
        <v>20.66</v>
      </c>
      <c r="F294" s="15">
        <v>11.46</v>
      </c>
      <c r="G294" s="15">
        <v>0</v>
      </c>
      <c r="H294" s="15">
        <v>0</v>
      </c>
      <c r="I294" s="15">
        <v>0</v>
      </c>
      <c r="J294" s="35">
        <f>SUM(D294:I294)</f>
        <v>560.73</v>
      </c>
      <c r="K294" s="8"/>
      <c r="L294" s="8"/>
    </row>
    <row r="295" spans="1:12" ht="15.75" thickBot="1">
      <c r="A295" s="8"/>
      <c r="B295" s="8"/>
      <c r="C295" s="38" t="s">
        <v>109</v>
      </c>
      <c r="D295" s="29">
        <v>1585.59</v>
      </c>
      <c r="E295" s="34">
        <v>30.99</v>
      </c>
      <c r="F295" s="28">
        <v>0</v>
      </c>
      <c r="G295" s="33">
        <v>0</v>
      </c>
      <c r="H295" s="33">
        <v>0</v>
      </c>
      <c r="I295" s="33">
        <v>0</v>
      </c>
      <c r="J295" s="29">
        <f>SUM(D295:I295)</f>
        <v>1616.58</v>
      </c>
      <c r="K295" s="8"/>
      <c r="L295" s="8"/>
    </row>
    <row r="296" spans="1:12">
      <c r="A296" s="8"/>
      <c r="B296" s="8"/>
      <c r="C296" s="8"/>
      <c r="D296" s="20"/>
      <c r="E296" s="20"/>
      <c r="F296" s="15"/>
      <c r="G296" s="8"/>
      <c r="H296" s="8"/>
      <c r="I296" s="8"/>
      <c r="J296" s="20"/>
      <c r="K296" s="8"/>
      <c r="L296" s="8"/>
    </row>
    <row r="297" spans="1:12" ht="15.75" thickBot="1">
      <c r="A297" s="8"/>
      <c r="B297" s="8"/>
      <c r="C297" s="8" t="s">
        <v>10</v>
      </c>
      <c r="D297" s="31">
        <f t="shared" ref="D297:I297" si="46">SUM(D292:D295)</f>
        <v>11123.080000000002</v>
      </c>
      <c r="E297" s="31">
        <f t="shared" si="46"/>
        <v>240.04000000000002</v>
      </c>
      <c r="F297" s="30">
        <f t="shared" si="46"/>
        <v>181.68</v>
      </c>
      <c r="G297" s="30">
        <f t="shared" si="46"/>
        <v>0</v>
      </c>
      <c r="H297" s="30">
        <f t="shared" si="46"/>
        <v>0</v>
      </c>
      <c r="I297" s="30">
        <f t="shared" si="46"/>
        <v>0</v>
      </c>
      <c r="J297" s="31">
        <f>SUM(D297:I297)</f>
        <v>11544.800000000003</v>
      </c>
      <c r="K297" s="8"/>
      <c r="L297" s="8"/>
    </row>
    <row r="298" spans="1:12" ht="15.75" thickTop="1">
      <c r="A298" s="8"/>
      <c r="B298" s="8"/>
      <c r="C298" s="8"/>
      <c r="D298" s="20"/>
      <c r="E298" s="20"/>
      <c r="F298" s="15"/>
      <c r="G298" s="15"/>
      <c r="H298" s="15"/>
      <c r="I298" s="15"/>
      <c r="J298" s="20"/>
      <c r="K298" s="8"/>
      <c r="L298" s="8"/>
    </row>
    <row r="299" spans="1:12">
      <c r="A299" s="8"/>
      <c r="B299" s="8"/>
      <c r="C299" s="8"/>
      <c r="D299" s="20"/>
      <c r="E299" s="20"/>
      <c r="F299" s="15"/>
      <c r="G299" s="15"/>
      <c r="H299" s="15"/>
      <c r="I299" s="15"/>
      <c r="J299" s="20"/>
      <c r="K299" s="8"/>
      <c r="L299" s="8"/>
    </row>
    <row r="300" spans="1:12">
      <c r="A300" s="8">
        <v>67</v>
      </c>
      <c r="B300" s="8" t="s">
        <v>62</v>
      </c>
      <c r="C300" s="8" t="s">
        <v>12</v>
      </c>
      <c r="D300" s="20">
        <v>13033.87</v>
      </c>
      <c r="E300" s="20">
        <v>489.3</v>
      </c>
      <c r="F300" s="15">
        <v>37.53</v>
      </c>
      <c r="G300" s="15">
        <v>0</v>
      </c>
      <c r="H300" s="15">
        <v>0</v>
      </c>
      <c r="I300" s="15">
        <v>0</v>
      </c>
      <c r="J300" s="20">
        <f>SUM(D300:I300)</f>
        <v>13560.7</v>
      </c>
      <c r="K300" s="8"/>
      <c r="L300" s="8"/>
    </row>
    <row r="301" spans="1:12" ht="15.75" thickBot="1">
      <c r="A301" s="8"/>
      <c r="B301" s="8"/>
      <c r="C301" s="8" t="s">
        <v>13</v>
      </c>
      <c r="D301" s="29">
        <v>296.81</v>
      </c>
      <c r="E301" s="29">
        <v>13.15</v>
      </c>
      <c r="F301" s="28">
        <v>1.03</v>
      </c>
      <c r="G301" s="28">
        <v>0</v>
      </c>
      <c r="H301" s="28">
        <v>0</v>
      </c>
      <c r="I301" s="28">
        <v>0</v>
      </c>
      <c r="J301" s="29">
        <f>SUM(D301:I301)</f>
        <v>310.98999999999995</v>
      </c>
      <c r="K301" s="8"/>
      <c r="L301" s="8"/>
    </row>
    <row r="302" spans="1:12">
      <c r="A302" s="8"/>
      <c r="B302" s="8"/>
      <c r="C302" s="8"/>
      <c r="D302" s="20"/>
      <c r="E302" s="20"/>
      <c r="F302" s="15"/>
      <c r="G302" s="15"/>
      <c r="H302" s="15"/>
      <c r="I302" s="15"/>
      <c r="J302" s="20"/>
      <c r="K302" s="8"/>
      <c r="L302" s="8"/>
    </row>
    <row r="303" spans="1:12" ht="15.75" thickBot="1">
      <c r="A303" s="8"/>
      <c r="B303" s="8"/>
      <c r="C303" s="8" t="s">
        <v>10</v>
      </c>
      <c r="D303" s="31">
        <f t="shared" ref="D303:I303" si="47">SUM(D300:D301)</f>
        <v>13330.68</v>
      </c>
      <c r="E303" s="31">
        <f t="shared" si="47"/>
        <v>502.45</v>
      </c>
      <c r="F303" s="30">
        <f t="shared" si="47"/>
        <v>38.56</v>
      </c>
      <c r="G303" s="30">
        <f t="shared" si="47"/>
        <v>0</v>
      </c>
      <c r="H303" s="30">
        <f t="shared" si="47"/>
        <v>0</v>
      </c>
      <c r="I303" s="30">
        <f t="shared" si="47"/>
        <v>0</v>
      </c>
      <c r="J303" s="31">
        <f>SUM(D303:I303)</f>
        <v>13871.69</v>
      </c>
      <c r="K303" s="8"/>
      <c r="L303" s="8"/>
    </row>
    <row r="304" spans="1:12" ht="15.75" thickTop="1">
      <c r="A304" s="8"/>
      <c r="B304" s="8"/>
      <c r="C304" s="8"/>
      <c r="D304" s="20"/>
      <c r="E304" s="20"/>
      <c r="F304" s="15"/>
      <c r="G304" s="15"/>
      <c r="H304" s="15"/>
      <c r="I304" s="15"/>
      <c r="J304" s="20"/>
      <c r="K304" s="8"/>
      <c r="L304" s="8"/>
    </row>
    <row r="305" spans="1:12">
      <c r="A305" s="8"/>
      <c r="B305" s="8"/>
      <c r="C305" s="8"/>
      <c r="D305" s="20"/>
      <c r="E305" s="20"/>
      <c r="F305" s="15"/>
      <c r="G305" s="15"/>
      <c r="H305" s="15"/>
      <c r="I305" s="15"/>
      <c r="J305" s="20"/>
      <c r="K305" s="8"/>
      <c r="L305" s="8"/>
    </row>
    <row r="306" spans="1:12">
      <c r="A306" s="8">
        <v>68</v>
      </c>
      <c r="B306" s="8" t="s">
        <v>63</v>
      </c>
      <c r="C306" s="8" t="s">
        <v>12</v>
      </c>
      <c r="D306" s="25">
        <v>7701.44</v>
      </c>
      <c r="E306" s="45">
        <v>70.78</v>
      </c>
      <c r="F306" s="24">
        <v>28.13</v>
      </c>
      <c r="G306" s="24">
        <v>0</v>
      </c>
      <c r="H306" s="24">
        <v>0</v>
      </c>
      <c r="I306" s="24">
        <v>0</v>
      </c>
      <c r="J306" s="25">
        <f>SUM(D306:I306)</f>
        <v>7800.3499999999995</v>
      </c>
      <c r="K306" s="8"/>
      <c r="L306" s="8"/>
    </row>
    <row r="307" spans="1:12" ht="15.75" hidden="1" thickBot="1">
      <c r="A307" s="8"/>
      <c r="B307" s="8"/>
      <c r="C307" s="8" t="s">
        <v>13</v>
      </c>
      <c r="D307" s="29"/>
      <c r="E307" s="34"/>
      <c r="F307" s="28"/>
      <c r="G307" s="28"/>
      <c r="H307" s="28"/>
      <c r="I307" s="28"/>
      <c r="J307" s="29"/>
      <c r="K307" s="8"/>
      <c r="L307" s="8"/>
    </row>
    <row r="308" spans="1:12">
      <c r="A308" s="8"/>
      <c r="B308" s="8"/>
      <c r="C308" s="8"/>
      <c r="D308" s="20"/>
      <c r="E308" s="35"/>
      <c r="F308" s="15"/>
      <c r="G308" s="15"/>
      <c r="H308" s="15"/>
      <c r="I308" s="15"/>
      <c r="J308" s="20"/>
      <c r="K308" s="8"/>
      <c r="L308" s="8"/>
    </row>
    <row r="309" spans="1:12" ht="15.75" thickBot="1">
      <c r="A309" s="8"/>
      <c r="B309" s="8"/>
      <c r="C309" s="8" t="s">
        <v>10</v>
      </c>
      <c r="D309" s="31">
        <f t="shared" ref="D309:I309" si="48">SUM(D306:D307)</f>
        <v>7701.44</v>
      </c>
      <c r="E309" s="44">
        <f t="shared" si="48"/>
        <v>70.78</v>
      </c>
      <c r="F309" s="30">
        <f t="shared" si="48"/>
        <v>28.13</v>
      </c>
      <c r="G309" s="30">
        <f t="shared" si="48"/>
        <v>0</v>
      </c>
      <c r="H309" s="30">
        <f t="shared" si="48"/>
        <v>0</v>
      </c>
      <c r="I309" s="30">
        <f t="shared" si="48"/>
        <v>0</v>
      </c>
      <c r="J309" s="31">
        <f>SUM(D309:I309)</f>
        <v>7800.3499999999995</v>
      </c>
      <c r="K309" s="8"/>
      <c r="L309" s="8"/>
    </row>
    <row r="310" spans="1:12" ht="15.75" thickTop="1">
      <c r="A310" s="8"/>
      <c r="B310" s="8"/>
      <c r="C310" s="8"/>
      <c r="D310" s="20"/>
      <c r="E310" s="20"/>
      <c r="F310" s="15"/>
      <c r="G310" s="15"/>
      <c r="H310" s="15"/>
      <c r="I310" s="15"/>
      <c r="J310" s="20"/>
      <c r="K310" s="8"/>
      <c r="L310" s="8"/>
    </row>
    <row r="311" spans="1:12">
      <c r="A311" s="8"/>
      <c r="B311" s="8"/>
      <c r="C311" s="8"/>
      <c r="D311" s="20"/>
      <c r="E311" s="20"/>
      <c r="F311" s="15"/>
      <c r="G311" s="15"/>
      <c r="H311" s="15"/>
      <c r="I311" s="15"/>
      <c r="J311" s="20"/>
      <c r="K311" s="8"/>
      <c r="L311" s="8"/>
    </row>
    <row r="312" spans="1:12">
      <c r="A312" s="8">
        <v>69</v>
      </c>
      <c r="B312" s="8" t="s">
        <v>64</v>
      </c>
      <c r="C312" s="8" t="s">
        <v>12</v>
      </c>
      <c r="D312" s="25">
        <v>8422.08</v>
      </c>
      <c r="E312" s="25">
        <v>7.22</v>
      </c>
      <c r="F312" s="24">
        <v>0</v>
      </c>
      <c r="G312" s="24">
        <v>0</v>
      </c>
      <c r="H312" s="24">
        <v>0</v>
      </c>
      <c r="I312" s="24">
        <v>0</v>
      </c>
      <c r="J312" s="25">
        <f>SUM(D312:I312)</f>
        <v>8429.2999999999993</v>
      </c>
      <c r="K312" s="8"/>
      <c r="L312" s="8"/>
    </row>
    <row r="313" spans="1:12" ht="15.75" hidden="1" thickBot="1">
      <c r="A313" s="8"/>
      <c r="B313" s="8"/>
      <c r="C313" s="8" t="s">
        <v>13</v>
      </c>
      <c r="D313" s="29"/>
      <c r="E313" s="29"/>
      <c r="F313" s="28"/>
      <c r="G313" s="28"/>
      <c r="H313" s="28"/>
      <c r="I313" s="28"/>
      <c r="J313" s="34">
        <v>0</v>
      </c>
      <c r="K313" s="8"/>
      <c r="L313" s="8"/>
    </row>
    <row r="314" spans="1:12">
      <c r="A314" s="8"/>
      <c r="B314" s="8"/>
      <c r="C314" s="8"/>
      <c r="D314" s="20"/>
      <c r="E314" s="20"/>
      <c r="F314" s="15"/>
      <c r="G314" s="15"/>
      <c r="H314" s="15"/>
      <c r="I314" s="15"/>
      <c r="J314" s="20"/>
      <c r="K314" s="8"/>
      <c r="L314" s="8"/>
    </row>
    <row r="315" spans="1:12" ht="15.75" thickBot="1">
      <c r="A315" s="8"/>
      <c r="B315" s="8"/>
      <c r="C315" s="8" t="s">
        <v>10</v>
      </c>
      <c r="D315" s="31">
        <f t="shared" ref="D315:I315" si="49">SUM(D312:D313)</f>
        <v>8422.08</v>
      </c>
      <c r="E315" s="31">
        <f t="shared" si="49"/>
        <v>7.22</v>
      </c>
      <c r="F315" s="30">
        <f t="shared" si="49"/>
        <v>0</v>
      </c>
      <c r="G315" s="30">
        <f t="shared" si="49"/>
        <v>0</v>
      </c>
      <c r="H315" s="30">
        <f t="shared" si="49"/>
        <v>0</v>
      </c>
      <c r="I315" s="30">
        <f t="shared" si="49"/>
        <v>0</v>
      </c>
      <c r="J315" s="31">
        <f>SUM(D315:I315)</f>
        <v>8429.2999999999993</v>
      </c>
      <c r="K315" s="8"/>
      <c r="L315" s="8"/>
    </row>
    <row r="316" spans="1:12" ht="15.75" thickTop="1">
      <c r="A316" s="8"/>
      <c r="B316" s="8"/>
      <c r="C316" s="8"/>
      <c r="D316" s="20"/>
      <c r="E316" s="20"/>
      <c r="F316" s="15"/>
      <c r="G316" s="15"/>
      <c r="H316" s="15"/>
      <c r="I316" s="15"/>
      <c r="J316" s="20"/>
      <c r="K316" s="8"/>
      <c r="L316" s="8"/>
    </row>
    <row r="317" spans="1:12">
      <c r="A317" s="8"/>
      <c r="B317" s="8"/>
      <c r="C317" s="8"/>
      <c r="D317" s="20"/>
      <c r="E317" s="20"/>
      <c r="F317" s="15"/>
      <c r="G317" s="15"/>
      <c r="H317" s="15"/>
      <c r="I317" s="15"/>
      <c r="J317" s="20"/>
      <c r="K317" s="8"/>
      <c r="L317" s="8"/>
    </row>
    <row r="318" spans="1:12">
      <c r="A318" s="8">
        <v>70</v>
      </c>
      <c r="B318" s="8" t="s">
        <v>65</v>
      </c>
      <c r="C318" s="8" t="s">
        <v>12</v>
      </c>
      <c r="D318" s="25">
        <v>12055.95</v>
      </c>
      <c r="E318" s="45">
        <v>106.47</v>
      </c>
      <c r="F318" s="24">
        <v>0</v>
      </c>
      <c r="G318" s="24">
        <v>0</v>
      </c>
      <c r="H318" s="24">
        <v>0</v>
      </c>
      <c r="I318" s="24">
        <v>0</v>
      </c>
      <c r="J318" s="25">
        <f>SUM(D318:I318)</f>
        <v>12162.42</v>
      </c>
      <c r="K318" s="8"/>
      <c r="L318" s="8"/>
    </row>
    <row r="319" spans="1:12" ht="15.75" hidden="1" thickBot="1">
      <c r="A319" s="8"/>
      <c r="B319" s="8"/>
      <c r="C319" s="8" t="s">
        <v>78</v>
      </c>
      <c r="D319" s="29"/>
      <c r="E319" s="34"/>
      <c r="F319" s="28"/>
      <c r="G319" s="28"/>
      <c r="H319" s="28"/>
      <c r="I319" s="28"/>
      <c r="J319" s="29">
        <f>SUM(D319:I319)</f>
        <v>0</v>
      </c>
      <c r="K319" s="8"/>
      <c r="L319" s="8"/>
    </row>
    <row r="320" spans="1:12">
      <c r="A320" s="8"/>
      <c r="B320" s="8"/>
      <c r="C320" s="8"/>
      <c r="D320" s="20"/>
      <c r="E320" s="35"/>
      <c r="F320" s="15"/>
      <c r="G320" s="15"/>
      <c r="H320" s="15"/>
      <c r="I320" s="15"/>
      <c r="J320" s="20"/>
      <c r="K320" s="8"/>
      <c r="L320" s="8"/>
    </row>
    <row r="321" spans="1:12" ht="15.75" thickBot="1">
      <c r="A321" s="8"/>
      <c r="B321" s="8"/>
      <c r="C321" s="8" t="s">
        <v>10</v>
      </c>
      <c r="D321" s="31">
        <f t="shared" ref="D321:I321" si="50">SUM(D318:D320)</f>
        <v>12055.95</v>
      </c>
      <c r="E321" s="44">
        <f t="shared" si="50"/>
        <v>106.47</v>
      </c>
      <c r="F321" s="30">
        <f t="shared" si="50"/>
        <v>0</v>
      </c>
      <c r="G321" s="30">
        <f t="shared" si="50"/>
        <v>0</v>
      </c>
      <c r="H321" s="30">
        <f t="shared" si="50"/>
        <v>0</v>
      </c>
      <c r="I321" s="30">
        <f t="shared" si="50"/>
        <v>0</v>
      </c>
      <c r="J321" s="31">
        <f>SUM(D321:I321)</f>
        <v>12162.42</v>
      </c>
      <c r="K321" s="8"/>
      <c r="L321" s="8"/>
    </row>
    <row r="322" spans="1:12" ht="15.75" thickTop="1">
      <c r="A322" s="8"/>
      <c r="B322" s="8"/>
      <c r="C322" s="8"/>
      <c r="D322" s="20"/>
      <c r="E322" s="20"/>
      <c r="F322" s="15"/>
      <c r="G322" s="15"/>
      <c r="H322" s="15"/>
      <c r="I322" s="15"/>
      <c r="J322" s="20"/>
      <c r="K322" s="8"/>
      <c r="L322" s="8"/>
    </row>
    <row r="323" spans="1:12">
      <c r="A323" s="8"/>
      <c r="B323" s="8"/>
      <c r="C323" s="8" t="s">
        <v>66</v>
      </c>
      <c r="D323" s="20">
        <f t="shared" ref="D323:I323" si="51">SUM(D9:D321)/2</f>
        <v>753341.84000000032</v>
      </c>
      <c r="E323" s="20">
        <f t="shared" si="51"/>
        <v>12561.79000000001</v>
      </c>
      <c r="F323" s="15">
        <f t="shared" si="51"/>
        <v>4967.9999999999991</v>
      </c>
      <c r="G323" s="15">
        <f t="shared" si="51"/>
        <v>45.989999999999995</v>
      </c>
      <c r="H323" s="15">
        <f t="shared" si="51"/>
        <v>43.08</v>
      </c>
      <c r="I323" s="15">
        <f t="shared" si="51"/>
        <v>34.42</v>
      </c>
      <c r="J323" s="20">
        <f>SUM(D323:I323)</f>
        <v>770995.12000000034</v>
      </c>
      <c r="K323" s="8"/>
      <c r="L323" s="8"/>
    </row>
    <row r="324" spans="1:12">
      <c r="A324" s="8"/>
      <c r="B324" s="8"/>
      <c r="C324" s="8"/>
      <c r="D324" s="20"/>
      <c r="E324" s="20"/>
      <c r="F324" s="15"/>
      <c r="G324" s="8"/>
      <c r="H324" s="8"/>
      <c r="I324" s="8"/>
      <c r="J324" s="20"/>
      <c r="K324" s="8"/>
      <c r="L324" s="8"/>
    </row>
    <row r="325" spans="1:12">
      <c r="A325" s="8"/>
      <c r="B325" s="8"/>
      <c r="C325" s="8"/>
      <c r="D325" s="20"/>
      <c r="E325" s="20"/>
      <c r="F325" s="8"/>
      <c r="G325" s="8"/>
      <c r="H325" s="8"/>
      <c r="I325" s="8"/>
      <c r="J325" s="20"/>
      <c r="K325" s="8"/>
      <c r="L325" s="8"/>
    </row>
  </sheetData>
  <pageMargins left="0.25" right="0.25" top="0.25" bottom="0.25" header="0.5" footer="0.5"/>
  <pageSetup scale="70" fitToHeight="50" orientation="landscape" r:id="rId1"/>
  <headerFooter alignWithMargins="0"/>
  <rowBreaks count="51" manualBreakCount="51">
    <brk id="7" max="65535" man="1"/>
    <brk id="13" max="16383" man="1"/>
    <brk id="19" max="16383" man="1"/>
    <brk id="25" max="16383" man="1"/>
    <brk id="31" max="16383" man="1"/>
    <brk id="37" max="16383" man="1"/>
    <brk id="44" max="16383" man="1"/>
    <brk id="49" max="65535" man="1"/>
    <brk id="57" max="16383" man="1"/>
    <brk id="66" max="16383" man="1"/>
    <brk id="72" max="16383" man="1"/>
    <brk id="78" max="16383" man="1"/>
    <brk id="86" max="16383" man="1"/>
    <brk id="92" max="16383" man="1"/>
    <brk id="100" max="16383" man="1"/>
    <brk id="105" max="16383" man="1"/>
    <brk id="112" max="16383" man="1"/>
    <brk id="117" max="16383" man="1"/>
    <brk id="125" max="16383" man="1"/>
    <brk id="129" max="9" man="1"/>
    <brk id="135" max="16383" man="1"/>
    <brk id="142" max="16383" man="1"/>
    <brk id="148" max="16383" man="1"/>
    <brk id="156" max="16383" man="1"/>
    <brk id="161" max="9" man="1"/>
    <brk id="166" max="16383" man="1"/>
    <brk id="171" max="16383" man="1"/>
    <brk id="176" max="16383" man="1"/>
    <brk id="181" max="16383" man="1"/>
    <brk id="186" max="16383" man="1"/>
    <brk id="192" max="16383" man="1"/>
    <brk id="199" max="16383" man="1"/>
    <brk id="205" max="16383" man="1"/>
    <brk id="213" max="16383" man="1"/>
    <brk id="219" max="16383" man="1"/>
    <brk id="225" max="16383" man="1"/>
    <brk id="231" max="16383" man="1"/>
    <brk id="239" max="16383" man="1"/>
    <brk id="245" max="16383" man="1"/>
    <brk id="251" max="16383" man="1"/>
    <brk id="260" max="16383" man="1"/>
    <brk id="267" max="16383" man="1"/>
    <brk id="273" max="16383" man="1"/>
    <brk id="279" max="16383" man="1"/>
    <brk id="284" max="16383" man="1"/>
    <brk id="290" max="16383" man="1"/>
    <brk id="298" max="16383" man="1"/>
    <brk id="304" max="16383" man="1"/>
    <brk id="310" max="16383" man="1"/>
    <brk id="316" max="16383" man="1"/>
    <brk id="32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/>
  </sheetPr>
  <dimension ref="A1:L326"/>
  <sheetViews>
    <sheetView showOutlineSymbols="0" defaultGridColor="0" view="pageBreakPreview" topLeftCell="A275" colorId="23" zoomScale="60" zoomScaleNormal="75" workbookViewId="0">
      <selection activeCell="D321" sqref="D321"/>
    </sheetView>
  </sheetViews>
  <sheetFormatPr defaultColWidth="9.6640625" defaultRowHeight="15"/>
  <cols>
    <col min="1" max="1" width="9.6640625" style="10" customWidth="1"/>
    <col min="2" max="2" width="27.44140625" style="10" bestFit="1" customWidth="1"/>
    <col min="3" max="3" width="24.44140625" style="10" bestFit="1" customWidth="1"/>
    <col min="4" max="5" width="12.77734375" style="23" customWidth="1"/>
    <col min="6" max="6" width="12.6640625" style="10" customWidth="1"/>
    <col min="7" max="8" width="11.6640625" style="10" customWidth="1"/>
    <col min="9" max="9" width="9.6640625" style="10" customWidth="1"/>
    <col min="10" max="10" width="14.44140625" style="23" customWidth="1"/>
    <col min="11" max="16384" width="9.6640625" style="10"/>
  </cols>
  <sheetData>
    <row r="1" spans="1:12">
      <c r="A1" s="8"/>
      <c r="B1" s="8"/>
      <c r="C1" s="8"/>
      <c r="D1" s="20"/>
      <c r="E1" s="20"/>
      <c r="F1" s="8"/>
      <c r="G1" s="8"/>
      <c r="H1" s="8"/>
      <c r="I1" s="9"/>
      <c r="J1" s="20"/>
      <c r="K1" s="8"/>
      <c r="L1" s="8"/>
    </row>
    <row r="2" spans="1:12">
      <c r="A2" s="8"/>
      <c r="B2" s="8"/>
      <c r="C2" s="8"/>
      <c r="D2" s="20"/>
      <c r="E2" s="20"/>
      <c r="F2" s="8"/>
      <c r="G2" s="8"/>
      <c r="H2" s="8"/>
      <c r="I2" s="8"/>
      <c r="J2" s="20"/>
      <c r="K2" s="8"/>
      <c r="L2" s="8"/>
    </row>
    <row r="3" spans="1:12">
      <c r="A3" s="8"/>
      <c r="B3" s="8"/>
      <c r="C3" s="8"/>
      <c r="D3" s="20"/>
      <c r="E3" s="20"/>
      <c r="F3" s="8"/>
      <c r="G3" s="8"/>
      <c r="H3" s="8"/>
      <c r="I3" s="8"/>
      <c r="J3" s="20"/>
      <c r="K3" s="8"/>
      <c r="L3" s="8"/>
    </row>
    <row r="4" spans="1:12" ht="15.75">
      <c r="A4" s="8"/>
      <c r="B4" s="11" t="s">
        <v>1</v>
      </c>
      <c r="C4" s="9"/>
      <c r="D4" s="21"/>
      <c r="E4" s="21"/>
      <c r="F4" s="9"/>
      <c r="G4" s="9"/>
      <c r="H4" s="9"/>
      <c r="I4" s="9"/>
      <c r="J4" s="21"/>
      <c r="K4" s="8"/>
      <c r="L4" s="8"/>
    </row>
    <row r="5" spans="1:12" ht="15.75">
      <c r="A5" s="8"/>
      <c r="B5" s="11" t="s">
        <v>115</v>
      </c>
      <c r="C5" s="9"/>
      <c r="D5" s="21"/>
      <c r="E5" s="21"/>
      <c r="F5" s="9"/>
      <c r="G5" s="9"/>
      <c r="H5" s="9"/>
      <c r="I5" s="9"/>
      <c r="J5" s="21"/>
      <c r="K5" s="8"/>
      <c r="L5" s="8"/>
    </row>
    <row r="6" spans="1:12">
      <c r="A6" s="8"/>
      <c r="B6" s="8"/>
      <c r="C6" s="8"/>
      <c r="D6" s="20"/>
      <c r="E6" s="20"/>
      <c r="F6" s="8"/>
      <c r="G6" s="8"/>
      <c r="H6" s="8"/>
      <c r="I6" s="8"/>
      <c r="J6" s="20"/>
      <c r="K6" s="8"/>
      <c r="L6" s="8"/>
    </row>
    <row r="7" spans="1:12">
      <c r="A7" s="8"/>
      <c r="B7" s="12" t="s">
        <v>3</v>
      </c>
      <c r="C7" s="12" t="s">
        <v>4</v>
      </c>
      <c r="D7" s="37">
        <v>2013</v>
      </c>
      <c r="E7" s="37">
        <v>2012</v>
      </c>
      <c r="F7" s="13">
        <v>2011</v>
      </c>
      <c r="G7" s="13">
        <v>2010</v>
      </c>
      <c r="H7" s="13">
        <v>2009</v>
      </c>
      <c r="I7" s="14">
        <v>2008</v>
      </c>
      <c r="J7" s="22" t="s">
        <v>10</v>
      </c>
      <c r="K7" s="8"/>
      <c r="L7" s="8"/>
    </row>
    <row r="8" spans="1:12">
      <c r="A8" s="8"/>
      <c r="B8" s="8"/>
      <c r="C8" s="8"/>
      <c r="D8" s="20"/>
      <c r="E8" s="20"/>
      <c r="F8" s="8"/>
      <c r="G8" s="8"/>
      <c r="H8" s="8"/>
      <c r="I8" s="8"/>
      <c r="J8" s="20"/>
      <c r="K8" s="8"/>
      <c r="L8" s="8"/>
    </row>
    <row r="9" spans="1:12">
      <c r="A9" s="8">
        <v>21</v>
      </c>
      <c r="B9" s="8" t="s">
        <v>11</v>
      </c>
      <c r="C9" s="8" t="s">
        <v>12</v>
      </c>
      <c r="D9" s="20">
        <f>8364.45+2703.18</f>
        <v>11067.630000000001</v>
      </c>
      <c r="E9" s="20">
        <v>107.43</v>
      </c>
      <c r="F9" s="15">
        <v>111.45</v>
      </c>
      <c r="G9" s="15">
        <v>0</v>
      </c>
      <c r="H9" s="15">
        <v>0</v>
      </c>
      <c r="I9" s="15">
        <v>0</v>
      </c>
      <c r="J9" s="20">
        <f>SUM(D9:I9)</f>
        <v>11286.510000000002</v>
      </c>
      <c r="K9" s="8"/>
      <c r="L9" s="8"/>
    </row>
    <row r="10" spans="1:12" ht="15.75" thickBot="1">
      <c r="A10" s="8"/>
      <c r="B10" s="8"/>
      <c r="C10" s="8" t="s">
        <v>13</v>
      </c>
      <c r="D10" s="29">
        <f>258.1+83.39</f>
        <v>341.49</v>
      </c>
      <c r="E10" s="29">
        <v>2.0499999999999998</v>
      </c>
      <c r="F10" s="28">
        <v>1.79</v>
      </c>
      <c r="G10" s="28">
        <v>0</v>
      </c>
      <c r="H10" s="28">
        <v>0</v>
      </c>
      <c r="I10" s="28">
        <v>0</v>
      </c>
      <c r="J10" s="29">
        <f>SUM(D10:I10)</f>
        <v>345.33000000000004</v>
      </c>
      <c r="K10" s="8"/>
      <c r="L10" s="8"/>
    </row>
    <row r="11" spans="1:12">
      <c r="A11" s="8"/>
      <c r="B11" s="8"/>
      <c r="C11" s="8"/>
      <c r="D11" s="20"/>
      <c r="E11" s="20"/>
      <c r="F11" s="15"/>
      <c r="G11" s="15"/>
      <c r="H11" s="15"/>
      <c r="I11" s="15"/>
      <c r="J11" s="20"/>
      <c r="K11" s="8"/>
      <c r="L11" s="8"/>
    </row>
    <row r="12" spans="1:12" ht="15.75" thickBot="1">
      <c r="A12" s="8"/>
      <c r="B12" s="8"/>
      <c r="C12" s="8" t="s">
        <v>10</v>
      </c>
      <c r="D12" s="31">
        <f t="shared" ref="D12:I12" si="0">SUM(D9:D10)</f>
        <v>11409.12</v>
      </c>
      <c r="E12" s="31">
        <f t="shared" si="0"/>
        <v>109.48</v>
      </c>
      <c r="F12" s="30">
        <f t="shared" si="0"/>
        <v>113.24000000000001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>SUM(D12:I12)</f>
        <v>11631.84</v>
      </c>
      <c r="K12" s="8"/>
      <c r="L12" s="8"/>
    </row>
    <row r="13" spans="1:12" ht="15.75" thickTop="1">
      <c r="A13" s="8"/>
      <c r="B13" s="8"/>
      <c r="C13" s="8"/>
      <c r="D13" s="20"/>
      <c r="E13" s="20"/>
      <c r="F13" s="15"/>
      <c r="G13" s="8"/>
      <c r="H13" s="8"/>
      <c r="I13" s="8"/>
      <c r="J13" s="20"/>
      <c r="K13" s="8"/>
      <c r="L13" s="8"/>
    </row>
    <row r="14" spans="1:12">
      <c r="A14" s="8"/>
      <c r="B14" s="8"/>
      <c r="C14" s="8"/>
      <c r="D14" s="20"/>
      <c r="E14" s="20"/>
      <c r="F14" s="15"/>
      <c r="G14" s="8"/>
      <c r="H14" s="8"/>
      <c r="I14" s="8"/>
      <c r="J14" s="20"/>
      <c r="K14" s="8"/>
      <c r="L14" s="8"/>
    </row>
    <row r="15" spans="1:12">
      <c r="A15" s="8">
        <v>22</v>
      </c>
      <c r="B15" s="8" t="s">
        <v>15</v>
      </c>
      <c r="C15" s="8" t="s">
        <v>12</v>
      </c>
      <c r="D15" s="20">
        <f>13045.42+2951.37</f>
        <v>15996.79</v>
      </c>
      <c r="E15" s="20">
        <v>356.72</v>
      </c>
      <c r="F15" s="15">
        <v>107.1</v>
      </c>
      <c r="G15" s="15">
        <v>0</v>
      </c>
      <c r="H15" s="15">
        <v>0</v>
      </c>
      <c r="I15" s="15">
        <v>0</v>
      </c>
      <c r="J15" s="20">
        <f>SUM(D15:I15)</f>
        <v>16460.61</v>
      </c>
      <c r="K15" s="8"/>
      <c r="L15" s="8"/>
    </row>
    <row r="16" spans="1:12" ht="15.75" thickBot="1">
      <c r="A16" s="8"/>
      <c r="B16" s="8"/>
      <c r="C16" s="8" t="s">
        <v>13</v>
      </c>
      <c r="D16" s="29">
        <f>333.36+75.42</f>
        <v>408.78000000000003</v>
      </c>
      <c r="E16" s="29">
        <v>9.18</v>
      </c>
      <c r="F16" s="28">
        <v>2.58</v>
      </c>
      <c r="G16" s="28">
        <v>0</v>
      </c>
      <c r="H16" s="28">
        <v>0</v>
      </c>
      <c r="I16" s="28">
        <v>0</v>
      </c>
      <c r="J16" s="29">
        <f>SUM(D16:I16)</f>
        <v>420.54</v>
      </c>
      <c r="K16" s="8"/>
      <c r="L16" s="8"/>
    </row>
    <row r="17" spans="1:12">
      <c r="A17" s="8"/>
      <c r="B17" s="8"/>
      <c r="C17" s="8"/>
      <c r="D17" s="20"/>
      <c r="E17" s="20"/>
      <c r="F17" s="15"/>
      <c r="G17" s="15"/>
      <c r="H17" s="15"/>
      <c r="I17" s="15"/>
      <c r="J17" s="20"/>
      <c r="K17" s="8"/>
      <c r="L17" s="8"/>
    </row>
    <row r="18" spans="1:12" ht="15.75" thickBot="1">
      <c r="A18" s="8"/>
      <c r="B18" s="8"/>
      <c r="C18" s="8" t="s">
        <v>10</v>
      </c>
      <c r="D18" s="31">
        <f t="shared" ref="D18:I18" si="1">SUM(D15:D16)</f>
        <v>16405.57</v>
      </c>
      <c r="E18" s="31">
        <f t="shared" si="1"/>
        <v>365.90000000000003</v>
      </c>
      <c r="F18" s="30">
        <f t="shared" si="1"/>
        <v>109.67999999999999</v>
      </c>
      <c r="G18" s="30">
        <f t="shared" si="1"/>
        <v>0</v>
      </c>
      <c r="H18" s="30">
        <f t="shared" si="1"/>
        <v>0</v>
      </c>
      <c r="I18" s="30">
        <f t="shared" si="1"/>
        <v>0</v>
      </c>
      <c r="J18" s="31">
        <f>SUM(D18:I18)</f>
        <v>16881.150000000001</v>
      </c>
      <c r="K18" s="8"/>
      <c r="L18" s="8"/>
    </row>
    <row r="19" spans="1:12" ht="15.75" thickTop="1">
      <c r="A19" s="8"/>
      <c r="B19" s="8"/>
      <c r="C19" s="8"/>
      <c r="D19" s="20"/>
      <c r="E19" s="20"/>
      <c r="F19" s="15"/>
      <c r="G19" s="15"/>
      <c r="H19" s="15"/>
      <c r="I19" s="15"/>
      <c r="J19" s="20"/>
      <c r="K19" s="8"/>
      <c r="L19" s="8"/>
    </row>
    <row r="20" spans="1:12">
      <c r="A20" s="8"/>
      <c r="B20" s="8"/>
      <c r="C20" s="8"/>
      <c r="D20" s="20"/>
      <c r="E20" s="20"/>
      <c r="F20" s="15"/>
      <c r="G20" s="15"/>
      <c r="H20" s="15"/>
      <c r="I20" s="15"/>
      <c r="J20" s="20"/>
      <c r="K20" s="8"/>
      <c r="L20" s="8"/>
    </row>
    <row r="21" spans="1:12">
      <c r="A21" s="8">
        <v>23</v>
      </c>
      <c r="B21" s="8" t="s">
        <v>16</v>
      </c>
      <c r="C21" s="8" t="s">
        <v>12</v>
      </c>
      <c r="D21" s="25">
        <f>11345.59+3168.38</f>
        <v>14513.970000000001</v>
      </c>
      <c r="E21" s="25">
        <v>584.59</v>
      </c>
      <c r="F21" s="24">
        <v>520.16</v>
      </c>
      <c r="G21" s="24">
        <v>0</v>
      </c>
      <c r="H21" s="24">
        <v>0</v>
      </c>
      <c r="I21" s="24">
        <v>0</v>
      </c>
      <c r="J21" s="25">
        <f>SUM(D21:I21)</f>
        <v>15618.720000000001</v>
      </c>
      <c r="K21" s="8"/>
      <c r="L21" s="8"/>
    </row>
    <row r="22" spans="1:12" ht="15.75" hidden="1" thickBot="1">
      <c r="A22" s="8"/>
      <c r="B22" s="8"/>
      <c r="C22" s="8" t="s">
        <v>13</v>
      </c>
      <c r="D22" s="29"/>
      <c r="E22" s="29"/>
      <c r="F22" s="28"/>
      <c r="G22" s="28"/>
      <c r="H22" s="28"/>
      <c r="I22" s="28"/>
      <c r="J22" s="29">
        <f>SUM(D22:I22)</f>
        <v>0</v>
      </c>
      <c r="K22" s="8"/>
      <c r="L22" s="8"/>
    </row>
    <row r="23" spans="1:12">
      <c r="A23" s="8"/>
      <c r="B23" s="8"/>
      <c r="C23" s="8"/>
      <c r="D23" s="20"/>
      <c r="E23" s="20"/>
      <c r="F23" s="15"/>
      <c r="G23" s="15"/>
      <c r="H23" s="15"/>
      <c r="I23" s="15"/>
      <c r="J23" s="20"/>
      <c r="K23" s="8"/>
      <c r="L23" s="8"/>
    </row>
    <row r="24" spans="1:12" ht="15.75" thickBot="1">
      <c r="A24" s="8"/>
      <c r="B24" s="8"/>
      <c r="C24" s="8" t="s">
        <v>10</v>
      </c>
      <c r="D24" s="31">
        <f t="shared" ref="D24:I24" si="2">SUM(D21:D22)</f>
        <v>14513.970000000001</v>
      </c>
      <c r="E24" s="31">
        <f t="shared" si="2"/>
        <v>584.59</v>
      </c>
      <c r="F24" s="30">
        <f t="shared" si="2"/>
        <v>520.16</v>
      </c>
      <c r="G24" s="30">
        <f t="shared" si="2"/>
        <v>0</v>
      </c>
      <c r="H24" s="30">
        <f t="shared" si="2"/>
        <v>0</v>
      </c>
      <c r="I24" s="30">
        <f t="shared" si="2"/>
        <v>0</v>
      </c>
      <c r="J24" s="31">
        <f>SUM(D24:I24)</f>
        <v>15618.720000000001</v>
      </c>
      <c r="K24" s="8"/>
      <c r="L24" s="8"/>
    </row>
    <row r="25" spans="1:12" ht="15.75" thickTop="1">
      <c r="A25" s="8"/>
      <c r="B25" s="8"/>
      <c r="C25" s="8"/>
      <c r="D25" s="20"/>
      <c r="E25" s="20"/>
      <c r="F25" s="15"/>
      <c r="G25" s="15"/>
      <c r="H25" s="15"/>
      <c r="I25" s="15"/>
      <c r="J25" s="20"/>
      <c r="K25" s="8"/>
      <c r="L25" s="8"/>
    </row>
    <row r="26" spans="1:12">
      <c r="A26" s="8"/>
      <c r="B26" s="8"/>
      <c r="C26" s="8"/>
      <c r="D26" s="20"/>
      <c r="E26" s="20"/>
      <c r="F26" s="15"/>
      <c r="G26" s="8"/>
      <c r="H26" s="8"/>
      <c r="I26" s="8"/>
      <c r="J26" s="20"/>
      <c r="K26" s="8"/>
      <c r="L26" s="8"/>
    </row>
    <row r="27" spans="1:12">
      <c r="A27" s="8"/>
      <c r="B27" s="8"/>
      <c r="C27" s="8"/>
      <c r="D27" s="20"/>
      <c r="E27" s="20"/>
      <c r="F27" s="15"/>
      <c r="G27" s="15"/>
      <c r="H27" s="15"/>
      <c r="I27" s="15"/>
      <c r="J27" s="20"/>
      <c r="K27" s="8"/>
      <c r="L27" s="8"/>
    </row>
    <row r="28" spans="1:12" ht="15.75" thickBot="1">
      <c r="A28" s="8">
        <v>24</v>
      </c>
      <c r="B28" s="8" t="s">
        <v>17</v>
      </c>
      <c r="C28" s="8" t="s">
        <v>12</v>
      </c>
      <c r="D28" s="29">
        <f>6260.86+1800.03</f>
        <v>8060.8899999999994</v>
      </c>
      <c r="E28" s="34">
        <v>0</v>
      </c>
      <c r="F28" s="28">
        <v>0</v>
      </c>
      <c r="G28" s="28">
        <v>0</v>
      </c>
      <c r="H28" s="28">
        <v>0</v>
      </c>
      <c r="I28" s="28">
        <v>0</v>
      </c>
      <c r="J28" s="29">
        <f>SUM(D28:I28)</f>
        <v>8060.8899999999994</v>
      </c>
      <c r="K28" s="8"/>
      <c r="L28" s="8"/>
    </row>
    <row r="29" spans="1:12">
      <c r="A29" s="8"/>
      <c r="B29" s="8"/>
      <c r="C29" s="8"/>
      <c r="D29" s="20"/>
      <c r="E29" s="35"/>
      <c r="F29" s="15"/>
      <c r="G29" s="15"/>
      <c r="H29" s="15"/>
      <c r="I29" s="15"/>
      <c r="J29" s="20"/>
      <c r="K29" s="8"/>
      <c r="L29" s="8"/>
    </row>
    <row r="30" spans="1:12" ht="15.75" thickBot="1">
      <c r="A30" s="8"/>
      <c r="B30" s="8"/>
      <c r="C30" s="8" t="s">
        <v>10</v>
      </c>
      <c r="D30" s="31">
        <f t="shared" ref="D30:I30" si="3">SUM(D28:D29)</f>
        <v>8060.8899999999994</v>
      </c>
      <c r="E30" s="44">
        <f t="shared" si="3"/>
        <v>0</v>
      </c>
      <c r="F30" s="30">
        <f t="shared" si="3"/>
        <v>0</v>
      </c>
      <c r="G30" s="30">
        <f t="shared" si="3"/>
        <v>0</v>
      </c>
      <c r="H30" s="30">
        <f t="shared" si="3"/>
        <v>0</v>
      </c>
      <c r="I30" s="30">
        <f t="shared" si="3"/>
        <v>0</v>
      </c>
      <c r="J30" s="31">
        <f>SUM(D30:I30)</f>
        <v>8060.8899999999994</v>
      </c>
      <c r="K30" s="8"/>
      <c r="L30" s="8"/>
    </row>
    <row r="31" spans="1:12" ht="15.75" thickTop="1">
      <c r="A31" s="8"/>
      <c r="B31" s="8"/>
      <c r="C31" s="8"/>
      <c r="D31" s="20"/>
      <c r="E31" s="35"/>
      <c r="F31" s="15"/>
      <c r="G31" s="15"/>
      <c r="H31" s="15"/>
      <c r="I31" s="15"/>
      <c r="J31" s="20"/>
      <c r="K31" s="8"/>
      <c r="L31" s="8"/>
    </row>
    <row r="32" spans="1:12">
      <c r="A32" s="8"/>
      <c r="B32" s="8"/>
      <c r="C32" s="8"/>
      <c r="D32" s="20"/>
      <c r="E32" s="35"/>
      <c r="F32" s="15"/>
      <c r="G32" s="8"/>
      <c r="H32" s="8"/>
      <c r="I32" s="8"/>
      <c r="J32" s="20"/>
      <c r="K32" s="8"/>
      <c r="L32" s="8"/>
    </row>
    <row r="33" spans="1:12">
      <c r="A33" s="8"/>
      <c r="B33" s="8"/>
      <c r="C33" s="8"/>
      <c r="D33" s="20"/>
      <c r="E33" s="35"/>
      <c r="F33" s="15"/>
      <c r="G33" s="15"/>
      <c r="H33" s="15"/>
      <c r="I33" s="15"/>
      <c r="J33" s="20"/>
      <c r="K33" s="8"/>
      <c r="L33" s="8"/>
    </row>
    <row r="34" spans="1:12" ht="15.75" thickBot="1">
      <c r="A34" s="8">
        <v>25</v>
      </c>
      <c r="B34" s="8" t="s">
        <v>18</v>
      </c>
      <c r="C34" s="8" t="s">
        <v>12</v>
      </c>
      <c r="D34" s="34">
        <v>0</v>
      </c>
      <c r="E34" s="34">
        <v>0</v>
      </c>
      <c r="F34" s="28">
        <v>0</v>
      </c>
      <c r="G34" s="28">
        <v>0</v>
      </c>
      <c r="H34" s="28">
        <v>0</v>
      </c>
      <c r="I34" s="28">
        <v>0</v>
      </c>
      <c r="J34" s="34">
        <f>SUM(D34:I34)</f>
        <v>0</v>
      </c>
      <c r="K34" s="8"/>
      <c r="L34" s="8"/>
    </row>
    <row r="35" spans="1:12">
      <c r="A35" s="8"/>
      <c r="B35" s="8"/>
      <c r="C35" s="8"/>
      <c r="D35" s="35"/>
      <c r="E35" s="35"/>
      <c r="F35" s="15"/>
      <c r="G35" s="15"/>
      <c r="H35" s="15"/>
      <c r="I35" s="15"/>
      <c r="J35" s="35"/>
      <c r="K35" s="8"/>
      <c r="L35" s="8"/>
    </row>
    <row r="36" spans="1:12" ht="15.75" thickBot="1">
      <c r="A36" s="8"/>
      <c r="B36" s="8"/>
      <c r="C36" s="8" t="s">
        <v>10</v>
      </c>
      <c r="D36" s="44">
        <f t="shared" ref="D36:I36" si="4">SUM(D34:D35)</f>
        <v>0</v>
      </c>
      <c r="E36" s="44">
        <f t="shared" si="4"/>
        <v>0</v>
      </c>
      <c r="F36" s="30">
        <f t="shared" si="4"/>
        <v>0</v>
      </c>
      <c r="G36" s="30">
        <f t="shared" si="4"/>
        <v>0</v>
      </c>
      <c r="H36" s="30">
        <f t="shared" si="4"/>
        <v>0</v>
      </c>
      <c r="I36" s="30">
        <f t="shared" si="4"/>
        <v>0</v>
      </c>
      <c r="J36" s="44">
        <f>SUM(D36:I36)</f>
        <v>0</v>
      </c>
      <c r="K36" s="8"/>
      <c r="L36" s="8"/>
    </row>
    <row r="37" spans="1:12" ht="15.75" thickTop="1">
      <c r="A37" s="8"/>
      <c r="B37" s="8"/>
      <c r="C37" s="8"/>
      <c r="D37" s="20"/>
      <c r="E37" s="20"/>
      <c r="F37" s="15"/>
      <c r="G37" s="8"/>
      <c r="H37" s="8"/>
      <c r="I37" s="8"/>
      <c r="J37" s="20"/>
      <c r="K37" s="8"/>
      <c r="L37" s="8"/>
    </row>
    <row r="38" spans="1:12">
      <c r="A38" s="8"/>
      <c r="B38" s="8"/>
      <c r="C38" s="8"/>
      <c r="D38" s="20"/>
      <c r="E38" s="20"/>
      <c r="F38" s="15"/>
      <c r="G38" s="15"/>
      <c r="H38" s="15"/>
      <c r="I38" s="15"/>
      <c r="J38" s="20"/>
      <c r="K38" s="8"/>
      <c r="L38" s="8"/>
    </row>
    <row r="39" spans="1:12">
      <c r="A39" s="8"/>
      <c r="B39" s="8"/>
      <c r="C39" s="8"/>
      <c r="D39" s="20"/>
      <c r="E39" s="20"/>
      <c r="F39" s="15"/>
      <c r="G39" s="15"/>
      <c r="H39" s="15"/>
      <c r="I39" s="15"/>
      <c r="J39" s="20"/>
      <c r="K39" s="8"/>
      <c r="L39" s="8"/>
    </row>
    <row r="40" spans="1:12">
      <c r="A40" s="8">
        <v>26</v>
      </c>
      <c r="B40" s="8" t="s">
        <v>19</v>
      </c>
      <c r="C40" s="8" t="s">
        <v>12</v>
      </c>
      <c r="D40" s="20">
        <f>9709.04+2364.03</f>
        <v>12073.070000000002</v>
      </c>
      <c r="E40" s="35">
        <v>195.17</v>
      </c>
      <c r="F40" s="15">
        <v>0</v>
      </c>
      <c r="G40" s="15">
        <v>0</v>
      </c>
      <c r="H40" s="15">
        <v>0</v>
      </c>
      <c r="I40" s="15">
        <v>0</v>
      </c>
      <c r="J40" s="20">
        <f>SUM(D40:I40)</f>
        <v>12268.240000000002</v>
      </c>
      <c r="K40" s="8"/>
      <c r="L40" s="8"/>
    </row>
    <row r="41" spans="1:12" ht="15.75" thickBot="1">
      <c r="A41" s="8"/>
      <c r="B41" s="8"/>
      <c r="C41" s="8" t="s">
        <v>13</v>
      </c>
      <c r="D41" s="29">
        <f>128.22+31.2</f>
        <v>159.41999999999999</v>
      </c>
      <c r="E41" s="34">
        <v>2.99</v>
      </c>
      <c r="F41" s="28">
        <v>0</v>
      </c>
      <c r="G41" s="28">
        <v>0</v>
      </c>
      <c r="H41" s="28">
        <v>0</v>
      </c>
      <c r="I41" s="28">
        <v>0</v>
      </c>
      <c r="J41" s="29">
        <f>SUM(D41:I41)</f>
        <v>162.41</v>
      </c>
      <c r="K41" s="8"/>
      <c r="L41" s="8"/>
    </row>
    <row r="42" spans="1:12">
      <c r="A42" s="8"/>
      <c r="B42" s="8"/>
      <c r="C42" s="8"/>
      <c r="D42" s="20"/>
      <c r="E42" s="35"/>
      <c r="F42" s="15"/>
      <c r="G42" s="15"/>
      <c r="H42" s="15"/>
      <c r="I42" s="15"/>
      <c r="J42" s="20"/>
      <c r="K42" s="8"/>
      <c r="L42" s="8"/>
    </row>
    <row r="43" spans="1:12" ht="15.75" thickBot="1">
      <c r="A43" s="8"/>
      <c r="B43" s="8"/>
      <c r="C43" s="8" t="s">
        <v>10</v>
      </c>
      <c r="D43" s="31">
        <f t="shared" ref="D43:I43" si="5">SUM(D40:D41)</f>
        <v>12232.490000000002</v>
      </c>
      <c r="E43" s="44">
        <f t="shared" si="5"/>
        <v>198.16</v>
      </c>
      <c r="F43" s="30">
        <f t="shared" si="5"/>
        <v>0</v>
      </c>
      <c r="G43" s="30">
        <f t="shared" si="5"/>
        <v>0</v>
      </c>
      <c r="H43" s="30">
        <f t="shared" si="5"/>
        <v>0</v>
      </c>
      <c r="I43" s="30">
        <f t="shared" si="5"/>
        <v>0</v>
      </c>
      <c r="J43" s="31">
        <f>SUM(D43:I43)</f>
        <v>12430.650000000001</v>
      </c>
      <c r="K43" s="8"/>
      <c r="L43" s="8"/>
    </row>
    <row r="44" spans="1:12" ht="15.75" thickTop="1">
      <c r="A44" s="8"/>
      <c r="B44" s="8"/>
      <c r="C44" s="8"/>
      <c r="D44" s="20"/>
      <c r="E44" s="20"/>
      <c r="F44" s="15"/>
      <c r="G44" s="15"/>
      <c r="H44" s="15"/>
      <c r="I44" s="15"/>
      <c r="J44" s="20"/>
      <c r="K44" s="8"/>
      <c r="L44" s="8"/>
    </row>
    <row r="45" spans="1:12">
      <c r="A45" s="8"/>
      <c r="B45" s="8"/>
      <c r="C45" s="8"/>
      <c r="D45" s="20"/>
      <c r="E45" s="20"/>
      <c r="F45" s="15"/>
      <c r="G45" s="15"/>
      <c r="H45" s="15"/>
      <c r="I45" s="15"/>
      <c r="J45" s="20"/>
      <c r="K45" s="8"/>
      <c r="L45" s="8"/>
    </row>
    <row r="46" spans="1:12" ht="15.75" thickBot="1">
      <c r="A46" s="8">
        <v>27</v>
      </c>
      <c r="B46" s="8" t="s">
        <v>20</v>
      </c>
      <c r="C46" s="8" t="s">
        <v>12</v>
      </c>
      <c r="D46" s="29">
        <f>17722.79+4119.91</f>
        <v>21842.7</v>
      </c>
      <c r="E46" s="29">
        <v>659.35</v>
      </c>
      <c r="F46" s="28">
        <v>134.74</v>
      </c>
      <c r="G46" s="28">
        <v>0</v>
      </c>
      <c r="H46" s="28">
        <v>0</v>
      </c>
      <c r="I46" s="28">
        <v>0</v>
      </c>
      <c r="J46" s="29">
        <f>SUM(D46:I46)</f>
        <v>22636.79</v>
      </c>
      <c r="K46" s="8"/>
      <c r="L46" s="8"/>
    </row>
    <row r="47" spans="1:12">
      <c r="A47" s="8"/>
      <c r="B47" s="8"/>
      <c r="C47" s="8"/>
      <c r="D47" s="20"/>
      <c r="E47" s="20"/>
      <c r="F47" s="15"/>
      <c r="G47" s="15"/>
      <c r="H47" s="15"/>
      <c r="I47" s="15"/>
      <c r="J47" s="20"/>
      <c r="K47" s="8"/>
      <c r="L47" s="8"/>
    </row>
    <row r="48" spans="1:12" ht="15.75" thickBot="1">
      <c r="A48" s="8"/>
      <c r="B48" s="8"/>
      <c r="C48" s="8" t="s">
        <v>10</v>
      </c>
      <c r="D48" s="31">
        <f t="shared" ref="D48:I48" si="6">SUM(D46:D47)</f>
        <v>21842.7</v>
      </c>
      <c r="E48" s="31">
        <f t="shared" si="6"/>
        <v>659.35</v>
      </c>
      <c r="F48" s="30">
        <f t="shared" si="6"/>
        <v>134.74</v>
      </c>
      <c r="G48" s="30">
        <f t="shared" si="6"/>
        <v>0</v>
      </c>
      <c r="H48" s="30">
        <f t="shared" si="6"/>
        <v>0</v>
      </c>
      <c r="I48" s="30">
        <f t="shared" si="6"/>
        <v>0</v>
      </c>
      <c r="J48" s="31">
        <f>SUM(D48:I48)</f>
        <v>22636.79</v>
      </c>
      <c r="K48" s="8"/>
      <c r="L48" s="8"/>
    </row>
    <row r="49" spans="1:12" ht="15.75" thickTop="1">
      <c r="A49" s="8"/>
      <c r="B49" s="8"/>
      <c r="C49" s="8"/>
      <c r="D49" s="20"/>
      <c r="E49" s="20"/>
      <c r="F49" s="15"/>
      <c r="G49" s="8"/>
      <c r="H49" s="8"/>
      <c r="I49" s="8"/>
      <c r="J49" s="20"/>
      <c r="K49" s="8"/>
      <c r="L49" s="8"/>
    </row>
    <row r="50" spans="1:12">
      <c r="A50" s="8"/>
      <c r="B50" s="8"/>
      <c r="C50" s="8"/>
      <c r="D50" s="20"/>
      <c r="E50" s="20"/>
      <c r="F50" s="15"/>
      <c r="G50" s="8"/>
      <c r="H50" s="8"/>
      <c r="I50" s="8"/>
      <c r="J50" s="20"/>
      <c r="K50" s="8"/>
      <c r="L50" s="8"/>
    </row>
    <row r="51" spans="1:12">
      <c r="A51" s="8"/>
      <c r="B51" s="8"/>
      <c r="C51" s="8"/>
      <c r="D51" s="20"/>
      <c r="E51" s="20"/>
      <c r="F51" s="15"/>
      <c r="G51" s="15"/>
      <c r="H51" s="15"/>
      <c r="I51" s="15"/>
      <c r="J51" s="20"/>
      <c r="K51" s="8"/>
      <c r="L51" s="8"/>
    </row>
    <row r="52" spans="1:12">
      <c r="A52" s="8"/>
      <c r="B52" s="8"/>
      <c r="C52" s="8"/>
      <c r="D52" s="20"/>
      <c r="E52" s="20"/>
      <c r="F52" s="15"/>
      <c r="G52" s="15"/>
      <c r="H52" s="15"/>
      <c r="I52" s="15"/>
      <c r="J52" s="20"/>
      <c r="K52" s="8"/>
      <c r="L52" s="8"/>
    </row>
    <row r="53" spans="1:12">
      <c r="A53" s="8">
        <v>28</v>
      </c>
      <c r="B53" s="8" t="s">
        <v>21</v>
      </c>
      <c r="C53" s="8" t="s">
        <v>12</v>
      </c>
      <c r="D53" s="25">
        <f>11176.75+2772.44</f>
        <v>13949.19</v>
      </c>
      <c r="E53" s="25">
        <v>312.77999999999997</v>
      </c>
      <c r="F53" s="24">
        <v>79.56</v>
      </c>
      <c r="G53" s="24">
        <v>0</v>
      </c>
      <c r="H53" s="24">
        <v>0</v>
      </c>
      <c r="I53" s="24">
        <v>0</v>
      </c>
      <c r="J53" s="25">
        <f>SUM(D53:I53)</f>
        <v>14341.53</v>
      </c>
      <c r="K53" s="8"/>
      <c r="L53" s="8"/>
    </row>
    <row r="54" spans="1:12" ht="15.75" hidden="1" thickBot="1">
      <c r="A54" s="8"/>
      <c r="B54" s="8"/>
      <c r="C54" s="8" t="s">
        <v>13</v>
      </c>
      <c r="D54" s="29"/>
      <c r="E54" s="29"/>
      <c r="F54" s="28"/>
      <c r="G54" s="28"/>
      <c r="H54" s="28"/>
      <c r="I54" s="28"/>
      <c r="J54" s="29">
        <f>SUM(D54:I54)</f>
        <v>0</v>
      </c>
      <c r="K54" s="8"/>
      <c r="L54" s="8"/>
    </row>
    <row r="55" spans="1:12">
      <c r="A55" s="8"/>
      <c r="B55" s="8"/>
      <c r="C55" s="8"/>
      <c r="D55" s="20"/>
      <c r="E55" s="20"/>
      <c r="F55" s="15"/>
      <c r="G55" s="15"/>
      <c r="H55" s="15"/>
      <c r="I55" s="15"/>
      <c r="J55" s="20"/>
      <c r="K55" s="8"/>
      <c r="L55" s="8"/>
    </row>
    <row r="56" spans="1:12" ht="15.75" thickBot="1">
      <c r="A56" s="8"/>
      <c r="B56" s="8"/>
      <c r="C56" s="8" t="s">
        <v>10</v>
      </c>
      <c r="D56" s="31">
        <f t="shared" ref="D56:I56" si="7">SUM(D53:D54)</f>
        <v>13949.19</v>
      </c>
      <c r="E56" s="31">
        <f t="shared" si="7"/>
        <v>312.77999999999997</v>
      </c>
      <c r="F56" s="30">
        <f t="shared" si="7"/>
        <v>79.56</v>
      </c>
      <c r="G56" s="30">
        <f t="shared" si="7"/>
        <v>0</v>
      </c>
      <c r="H56" s="30">
        <f t="shared" si="7"/>
        <v>0</v>
      </c>
      <c r="I56" s="30">
        <f t="shared" si="7"/>
        <v>0</v>
      </c>
      <c r="J56" s="31">
        <f>SUM(D56:I56)</f>
        <v>14341.53</v>
      </c>
      <c r="K56" s="8"/>
      <c r="L56" s="8"/>
    </row>
    <row r="57" spans="1:12" ht="15.75" thickTop="1">
      <c r="A57" s="8"/>
      <c r="B57" s="8"/>
      <c r="C57" s="8"/>
      <c r="D57" s="20"/>
      <c r="E57" s="20"/>
      <c r="F57" s="15"/>
      <c r="G57" s="15"/>
      <c r="H57" s="15"/>
      <c r="I57" s="15"/>
      <c r="J57" s="20"/>
      <c r="K57" s="8"/>
      <c r="L57" s="8"/>
    </row>
    <row r="58" spans="1:12">
      <c r="A58" s="8"/>
      <c r="B58" s="8"/>
      <c r="C58" s="8"/>
      <c r="D58" s="20"/>
      <c r="E58" s="20"/>
      <c r="F58" s="15"/>
      <c r="G58" s="15"/>
      <c r="H58" s="15"/>
      <c r="I58" s="15"/>
      <c r="J58" s="20"/>
      <c r="K58" s="8"/>
      <c r="L58" s="8"/>
    </row>
    <row r="59" spans="1:12">
      <c r="A59" s="8">
        <v>29</v>
      </c>
      <c r="B59" s="8" t="s">
        <v>22</v>
      </c>
      <c r="C59" s="8" t="s">
        <v>12</v>
      </c>
      <c r="D59" s="20">
        <f>17420.85+3854.42</f>
        <v>21275.269999999997</v>
      </c>
      <c r="E59" s="35">
        <v>0</v>
      </c>
      <c r="F59" s="15">
        <v>0</v>
      </c>
      <c r="G59" s="15">
        <v>0</v>
      </c>
      <c r="H59" s="15">
        <v>0</v>
      </c>
      <c r="I59" s="15">
        <v>0</v>
      </c>
      <c r="J59" s="20">
        <f>SUM(D59:I59)</f>
        <v>21275.269999999997</v>
      </c>
      <c r="K59" s="8"/>
      <c r="L59" s="8"/>
    </row>
    <row r="60" spans="1:12">
      <c r="A60" s="8"/>
      <c r="B60" s="8"/>
      <c r="C60" s="8" t="s">
        <v>35</v>
      </c>
      <c r="D60" s="20">
        <f>967.7+214.13</f>
        <v>1181.83</v>
      </c>
      <c r="E60" s="35">
        <v>0</v>
      </c>
      <c r="F60" s="15">
        <v>0</v>
      </c>
      <c r="G60" s="15">
        <v>0</v>
      </c>
      <c r="H60" s="15">
        <v>0</v>
      </c>
      <c r="I60" s="15">
        <v>0</v>
      </c>
      <c r="J60" s="20">
        <f>SUM(D60:I60)</f>
        <v>1181.83</v>
      </c>
      <c r="K60" s="8"/>
      <c r="L60" s="8"/>
    </row>
    <row r="61" spans="1:12">
      <c r="A61" s="8"/>
      <c r="B61" s="8"/>
      <c r="C61" s="8" t="s">
        <v>13</v>
      </c>
      <c r="D61" s="20">
        <f>445.37+98.5</f>
        <v>543.87</v>
      </c>
      <c r="E61" s="35">
        <v>0</v>
      </c>
      <c r="F61" s="15">
        <v>0</v>
      </c>
      <c r="G61" s="15">
        <v>0</v>
      </c>
      <c r="H61" s="15">
        <v>0</v>
      </c>
      <c r="I61" s="15">
        <v>0</v>
      </c>
      <c r="J61" s="20">
        <f>SUM(D61:I61)</f>
        <v>543.87</v>
      </c>
      <c r="K61" s="8"/>
      <c r="L61" s="8"/>
    </row>
    <row r="62" spans="1:12">
      <c r="A62" s="8"/>
      <c r="B62" s="8"/>
      <c r="C62" s="8" t="s">
        <v>78</v>
      </c>
      <c r="D62" s="20">
        <f>1974.23+436.83</f>
        <v>2411.06</v>
      </c>
      <c r="E62" s="35">
        <v>0</v>
      </c>
      <c r="F62" s="15">
        <v>0</v>
      </c>
      <c r="G62" s="15">
        <v>0</v>
      </c>
      <c r="H62" s="15">
        <v>0</v>
      </c>
      <c r="I62" s="15">
        <v>0</v>
      </c>
      <c r="J62" s="20">
        <f>SUM(D62:I62)</f>
        <v>2411.06</v>
      </c>
      <c r="K62" s="8"/>
      <c r="L62" s="8"/>
    </row>
    <row r="63" spans="1:12" ht="15.75" thickBot="1">
      <c r="A63" s="8"/>
      <c r="B63" s="8"/>
      <c r="C63" s="38" t="s">
        <v>114</v>
      </c>
      <c r="D63" s="29">
        <f>12600.82+2788.03</f>
        <v>15388.85</v>
      </c>
      <c r="E63" s="34">
        <v>0</v>
      </c>
      <c r="F63" s="28">
        <v>0</v>
      </c>
      <c r="G63" s="28">
        <v>0</v>
      </c>
      <c r="H63" s="28">
        <v>0</v>
      </c>
      <c r="I63" s="28">
        <v>0</v>
      </c>
      <c r="J63" s="29">
        <f>SUM(D63:I63)</f>
        <v>15388.85</v>
      </c>
      <c r="K63" s="8"/>
      <c r="L63" s="8"/>
    </row>
    <row r="64" spans="1:12">
      <c r="A64" s="8"/>
      <c r="B64" s="8"/>
      <c r="C64" s="8"/>
      <c r="D64" s="20"/>
      <c r="E64" s="35"/>
      <c r="F64" s="15"/>
      <c r="G64" s="15"/>
      <c r="H64" s="15"/>
      <c r="I64" s="15"/>
      <c r="J64" s="20"/>
      <c r="K64" s="8"/>
      <c r="L64" s="8"/>
    </row>
    <row r="65" spans="1:12" ht="15.75" thickBot="1">
      <c r="A65" s="8"/>
      <c r="B65" s="8"/>
      <c r="C65" s="8" t="s">
        <v>10</v>
      </c>
      <c r="D65" s="31">
        <f t="shared" ref="D65:I65" si="8">SUM(D59:D63)</f>
        <v>40800.879999999997</v>
      </c>
      <c r="E65" s="44">
        <f t="shared" si="8"/>
        <v>0</v>
      </c>
      <c r="F65" s="30">
        <f t="shared" si="8"/>
        <v>0</v>
      </c>
      <c r="G65" s="30">
        <f t="shared" si="8"/>
        <v>0</v>
      </c>
      <c r="H65" s="30">
        <f t="shared" si="8"/>
        <v>0</v>
      </c>
      <c r="I65" s="30">
        <f t="shared" si="8"/>
        <v>0</v>
      </c>
      <c r="J65" s="31">
        <f>SUM(D65:I65)</f>
        <v>40800.879999999997</v>
      </c>
      <c r="K65" s="8"/>
      <c r="L65" s="8"/>
    </row>
    <row r="66" spans="1:12" ht="15.75" thickTop="1">
      <c r="A66" s="8"/>
      <c r="B66" s="8"/>
      <c r="C66" s="8"/>
      <c r="D66" s="20"/>
      <c r="E66" s="20"/>
      <c r="F66" s="15"/>
      <c r="G66" s="15"/>
      <c r="H66" s="15"/>
      <c r="I66" s="15"/>
      <c r="J66" s="20"/>
      <c r="K66" s="8"/>
      <c r="L66" s="8"/>
    </row>
    <row r="67" spans="1:12">
      <c r="A67" s="8"/>
      <c r="B67" s="8"/>
      <c r="C67" s="8"/>
      <c r="D67" s="20"/>
      <c r="E67" s="20"/>
      <c r="F67" s="15"/>
      <c r="G67" s="15"/>
      <c r="H67" s="15"/>
      <c r="I67" s="15"/>
      <c r="J67" s="20"/>
      <c r="K67" s="8"/>
      <c r="L67" s="8"/>
    </row>
    <row r="68" spans="1:12">
      <c r="A68" s="8">
        <v>30</v>
      </c>
      <c r="B68" s="8" t="s">
        <v>23</v>
      </c>
      <c r="C68" s="8" t="s">
        <v>12</v>
      </c>
      <c r="D68" s="20">
        <f>7581.53+1797.69</f>
        <v>9379.2199999999993</v>
      </c>
      <c r="E68" s="20">
        <v>58.73</v>
      </c>
      <c r="F68" s="15">
        <v>17.010000000000002</v>
      </c>
      <c r="G68" s="15">
        <v>0</v>
      </c>
      <c r="H68" s="15">
        <v>0</v>
      </c>
      <c r="I68" s="15">
        <v>0</v>
      </c>
      <c r="J68" s="20">
        <f>SUM(D68:I68)</f>
        <v>9454.9599999999991</v>
      </c>
      <c r="K68" s="8"/>
      <c r="L68" s="8"/>
    </row>
    <row r="69" spans="1:12" ht="15.75" thickBot="1">
      <c r="A69" s="8"/>
      <c r="B69" s="8"/>
      <c r="C69" s="38" t="s">
        <v>116</v>
      </c>
      <c r="D69" s="29">
        <f>16009.72+3796.12</f>
        <v>19805.84</v>
      </c>
      <c r="E69" s="29">
        <v>0</v>
      </c>
      <c r="F69" s="28">
        <v>0</v>
      </c>
      <c r="G69" s="28">
        <v>0</v>
      </c>
      <c r="H69" s="28">
        <v>0</v>
      </c>
      <c r="I69" s="28">
        <v>0</v>
      </c>
      <c r="J69" s="29">
        <f>SUM(D69:I69)</f>
        <v>19805.84</v>
      </c>
      <c r="K69" s="8"/>
      <c r="L69" s="8"/>
    </row>
    <row r="70" spans="1:12">
      <c r="A70" s="8"/>
      <c r="B70" s="8"/>
      <c r="C70" s="8"/>
      <c r="D70" s="20"/>
      <c r="E70" s="20"/>
      <c r="F70" s="15"/>
      <c r="G70" s="15"/>
      <c r="H70" s="15"/>
      <c r="I70" s="15"/>
      <c r="J70" s="20"/>
      <c r="K70" s="8"/>
      <c r="L70" s="8"/>
    </row>
    <row r="71" spans="1:12" ht="15.75" thickBot="1">
      <c r="A71" s="8"/>
      <c r="B71" s="8"/>
      <c r="C71" s="15" t="s">
        <v>10</v>
      </c>
      <c r="D71" s="31">
        <f t="shared" ref="D71:I71" si="9">SUM(D68:D69)</f>
        <v>29185.059999999998</v>
      </c>
      <c r="E71" s="31">
        <f t="shared" si="9"/>
        <v>58.73</v>
      </c>
      <c r="F71" s="30">
        <f t="shared" si="9"/>
        <v>17.010000000000002</v>
      </c>
      <c r="G71" s="30">
        <f t="shared" si="9"/>
        <v>0</v>
      </c>
      <c r="H71" s="30">
        <f t="shared" si="9"/>
        <v>0</v>
      </c>
      <c r="I71" s="30">
        <f t="shared" si="9"/>
        <v>0</v>
      </c>
      <c r="J71" s="31">
        <f>SUM(D71:I71)</f>
        <v>29260.799999999996</v>
      </c>
      <c r="K71" s="8"/>
      <c r="L71" s="8"/>
    </row>
    <row r="72" spans="1:12" ht="15.75" thickTop="1">
      <c r="A72" s="8"/>
      <c r="B72" s="8"/>
      <c r="C72" s="8"/>
      <c r="D72" s="20"/>
      <c r="E72" s="20"/>
      <c r="F72" s="15"/>
      <c r="G72" s="15"/>
      <c r="H72" s="15"/>
      <c r="I72" s="15"/>
      <c r="J72" s="20"/>
      <c r="K72" s="8"/>
      <c r="L72" s="8"/>
    </row>
    <row r="73" spans="1:12">
      <c r="A73" s="8"/>
      <c r="B73" s="8"/>
      <c r="C73" s="8"/>
      <c r="D73" s="20"/>
      <c r="E73" s="20"/>
      <c r="F73" s="15"/>
      <c r="G73" s="15"/>
      <c r="H73" s="15"/>
      <c r="I73" s="15"/>
      <c r="J73" s="20"/>
      <c r="K73" s="8"/>
      <c r="L73" s="8"/>
    </row>
    <row r="74" spans="1:12">
      <c r="A74" s="8">
        <v>31</v>
      </c>
      <c r="B74" s="8" t="s">
        <v>24</v>
      </c>
      <c r="C74" s="8" t="s">
        <v>12</v>
      </c>
      <c r="D74" s="20">
        <f>3575.17+900.41</f>
        <v>4475.58</v>
      </c>
      <c r="E74" s="20">
        <v>40.450000000000003</v>
      </c>
      <c r="F74" s="15">
        <v>0</v>
      </c>
      <c r="G74" s="15">
        <v>0</v>
      </c>
      <c r="H74" s="15">
        <v>0</v>
      </c>
      <c r="I74" s="15">
        <v>0</v>
      </c>
      <c r="J74" s="20">
        <f>SUM(D74:I74)</f>
        <v>4516.03</v>
      </c>
      <c r="K74" s="8"/>
      <c r="L74" s="8"/>
    </row>
    <row r="75" spans="1:12" ht="15.75" thickBot="1">
      <c r="A75" s="8"/>
      <c r="B75" s="8"/>
      <c r="C75" s="8" t="s">
        <v>13</v>
      </c>
      <c r="D75" s="29">
        <f>90.07+22.68</f>
        <v>112.75</v>
      </c>
      <c r="E75" s="29">
        <v>1.01</v>
      </c>
      <c r="F75" s="28">
        <v>0</v>
      </c>
      <c r="G75" s="28">
        <v>0</v>
      </c>
      <c r="H75" s="28">
        <v>0</v>
      </c>
      <c r="I75" s="28">
        <v>0</v>
      </c>
      <c r="J75" s="29">
        <f>SUM(D75:I75)</f>
        <v>113.76</v>
      </c>
      <c r="K75" s="8"/>
      <c r="L75" s="8"/>
    </row>
    <row r="76" spans="1:12">
      <c r="A76" s="8"/>
      <c r="B76" s="8"/>
      <c r="C76" s="8"/>
      <c r="D76" s="20"/>
      <c r="E76" s="20"/>
      <c r="F76" s="15"/>
      <c r="G76" s="15"/>
      <c r="H76" s="15"/>
      <c r="I76" s="15"/>
      <c r="J76" s="20"/>
      <c r="K76" s="8"/>
      <c r="L76" s="8"/>
    </row>
    <row r="77" spans="1:12" ht="15.75" thickBot="1">
      <c r="A77" s="8"/>
      <c r="B77" s="8"/>
      <c r="C77" s="8" t="s">
        <v>10</v>
      </c>
      <c r="D77" s="31">
        <f t="shared" ref="D77:I77" si="10">SUM(D74:D75)</f>
        <v>4588.33</v>
      </c>
      <c r="E77" s="31">
        <f t="shared" si="10"/>
        <v>41.46</v>
      </c>
      <c r="F77" s="30">
        <f t="shared" si="10"/>
        <v>0</v>
      </c>
      <c r="G77" s="30">
        <f t="shared" si="10"/>
        <v>0</v>
      </c>
      <c r="H77" s="30">
        <f t="shared" si="10"/>
        <v>0</v>
      </c>
      <c r="I77" s="30">
        <f t="shared" si="10"/>
        <v>0</v>
      </c>
      <c r="J77" s="31">
        <f>SUM(D77:I77)</f>
        <v>4629.79</v>
      </c>
      <c r="K77" s="8"/>
      <c r="L77" s="8"/>
    </row>
    <row r="78" spans="1:12" ht="15.75" thickTop="1">
      <c r="A78" s="8"/>
      <c r="B78" s="8"/>
      <c r="C78" s="8"/>
      <c r="D78" s="20"/>
      <c r="E78" s="20"/>
      <c r="F78" s="15"/>
      <c r="G78" s="15"/>
      <c r="H78" s="15"/>
      <c r="I78" s="15"/>
      <c r="J78" s="20"/>
      <c r="K78" s="8"/>
      <c r="L78" s="8"/>
    </row>
    <row r="79" spans="1:12">
      <c r="A79" s="8"/>
      <c r="B79" s="8"/>
      <c r="C79" s="8"/>
      <c r="D79" s="20"/>
      <c r="E79" s="20"/>
      <c r="F79" s="15"/>
      <c r="G79" s="15"/>
      <c r="H79" s="15"/>
      <c r="I79" s="15"/>
      <c r="J79" s="20"/>
      <c r="K79" s="8"/>
      <c r="L79" s="8"/>
    </row>
    <row r="80" spans="1:12">
      <c r="A80" s="8">
        <v>32</v>
      </c>
      <c r="B80" s="8" t="s">
        <v>25</v>
      </c>
      <c r="C80" s="8" t="s">
        <v>12</v>
      </c>
      <c r="D80" s="20">
        <f>17283.8+3725.38</f>
        <v>21009.18</v>
      </c>
      <c r="E80" s="20">
        <v>128.63999999999999</v>
      </c>
      <c r="F80" s="15">
        <v>80.69</v>
      </c>
      <c r="G80" s="15">
        <v>0</v>
      </c>
      <c r="H80" s="15">
        <v>0</v>
      </c>
      <c r="I80" s="15">
        <v>0</v>
      </c>
      <c r="J80" s="20">
        <f>SUM(D80:I80)</f>
        <v>21218.51</v>
      </c>
      <c r="K80" s="8"/>
      <c r="L80" s="8"/>
    </row>
    <row r="81" spans="1:12">
      <c r="A81" s="8"/>
      <c r="B81" s="8"/>
      <c r="C81" s="8" t="s">
        <v>13</v>
      </c>
      <c r="D81" s="25">
        <f>441.05+95.06</f>
        <v>536.11</v>
      </c>
      <c r="E81" s="25">
        <v>2.4900000000000002</v>
      </c>
      <c r="F81" s="24">
        <v>1.22</v>
      </c>
      <c r="G81" s="24">
        <v>0</v>
      </c>
      <c r="H81" s="24">
        <v>0</v>
      </c>
      <c r="I81" s="24">
        <v>0</v>
      </c>
      <c r="J81" s="25">
        <f>SUM(D81:I81)</f>
        <v>539.82000000000005</v>
      </c>
      <c r="K81" s="8"/>
      <c r="L81" s="8"/>
    </row>
    <row r="82" spans="1:12" hidden="1">
      <c r="A82" s="8"/>
      <c r="B82" s="8"/>
      <c r="C82" s="8" t="s">
        <v>73</v>
      </c>
      <c r="D82" s="20"/>
      <c r="E82" s="20"/>
      <c r="F82" s="26"/>
      <c r="G82" s="8"/>
      <c r="H82" s="26"/>
      <c r="I82" s="8"/>
      <c r="J82" s="20">
        <f>SUM(D82:I82)</f>
        <v>0</v>
      </c>
      <c r="K82" s="8"/>
      <c r="L82" s="8"/>
    </row>
    <row r="83" spans="1:12" ht="15.75" hidden="1" thickBot="1">
      <c r="A83" s="8"/>
      <c r="B83" s="8"/>
      <c r="C83" s="8" t="s">
        <v>78</v>
      </c>
      <c r="D83" s="29"/>
      <c r="E83" s="29"/>
      <c r="F83" s="33"/>
      <c r="G83" s="27"/>
      <c r="H83" s="27"/>
      <c r="I83" s="27"/>
      <c r="J83" s="29">
        <f>SUM(D83:I83)</f>
        <v>0</v>
      </c>
      <c r="K83" s="8"/>
      <c r="L83" s="8"/>
    </row>
    <row r="84" spans="1:12">
      <c r="A84" s="8"/>
      <c r="B84" s="8"/>
      <c r="C84" s="8"/>
      <c r="D84" s="20"/>
      <c r="E84" s="20"/>
      <c r="F84" s="15"/>
      <c r="G84" s="8"/>
      <c r="H84" s="8"/>
      <c r="I84" s="8"/>
      <c r="J84" s="20"/>
      <c r="K84" s="8"/>
      <c r="L84" s="8"/>
    </row>
    <row r="85" spans="1:12" ht="15.75" thickBot="1">
      <c r="A85" s="8"/>
      <c r="B85" s="8"/>
      <c r="C85" s="8" t="s">
        <v>10</v>
      </c>
      <c r="D85" s="31">
        <f t="shared" ref="D85:I85" si="11">SUM(D80:D83)</f>
        <v>21545.29</v>
      </c>
      <c r="E85" s="31">
        <f t="shared" si="11"/>
        <v>131.13</v>
      </c>
      <c r="F85" s="30">
        <f t="shared" si="11"/>
        <v>81.91</v>
      </c>
      <c r="G85" s="30">
        <f t="shared" si="11"/>
        <v>0</v>
      </c>
      <c r="H85" s="30">
        <f t="shared" si="11"/>
        <v>0</v>
      </c>
      <c r="I85" s="30">
        <f t="shared" si="11"/>
        <v>0</v>
      </c>
      <c r="J85" s="31">
        <f>SUM(D85:I85)</f>
        <v>21758.33</v>
      </c>
      <c r="K85" s="8"/>
      <c r="L85" s="8"/>
    </row>
    <row r="86" spans="1:12" ht="15.75" thickTop="1">
      <c r="A86" s="8"/>
      <c r="B86" s="8"/>
      <c r="C86" s="8"/>
      <c r="D86" s="20"/>
      <c r="E86" s="20"/>
      <c r="F86" s="15"/>
      <c r="G86" s="15"/>
      <c r="H86" s="15"/>
      <c r="I86" s="15"/>
      <c r="J86" s="20"/>
      <c r="K86" s="8"/>
      <c r="L86" s="8"/>
    </row>
    <row r="87" spans="1:12">
      <c r="A87" s="8"/>
      <c r="B87" s="8"/>
      <c r="C87" s="8"/>
      <c r="D87" s="20"/>
      <c r="E87" s="20"/>
      <c r="F87" s="15"/>
      <c r="G87" s="15"/>
      <c r="H87" s="15"/>
      <c r="I87" s="15"/>
      <c r="J87" s="20"/>
      <c r="K87" s="8"/>
      <c r="L87" s="8"/>
    </row>
    <row r="88" spans="1:12">
      <c r="A88" s="8">
        <v>33</v>
      </c>
      <c r="B88" s="8" t="s">
        <v>26</v>
      </c>
      <c r="C88" s="8" t="s">
        <v>12</v>
      </c>
      <c r="D88" s="20">
        <f>15348.61+3415.02</f>
        <v>18763.63</v>
      </c>
      <c r="E88" s="20">
        <v>2.0099999999999998</v>
      </c>
      <c r="F88" s="15">
        <v>0</v>
      </c>
      <c r="G88" s="15">
        <v>0</v>
      </c>
      <c r="H88" s="15">
        <v>0</v>
      </c>
      <c r="I88" s="15">
        <v>0</v>
      </c>
      <c r="J88" s="20">
        <f>SUM(D88:I88)</f>
        <v>18765.64</v>
      </c>
      <c r="K88" s="8"/>
      <c r="L88" s="8"/>
    </row>
    <row r="89" spans="1:12" ht="15.75" thickBot="1">
      <c r="A89" s="8"/>
      <c r="B89" s="8"/>
      <c r="C89" s="8" t="s">
        <v>13</v>
      </c>
      <c r="D89" s="29">
        <f>245.63+54.64</f>
        <v>300.27</v>
      </c>
      <c r="E89" s="29">
        <v>0</v>
      </c>
      <c r="F89" s="28">
        <v>0</v>
      </c>
      <c r="G89" s="28">
        <v>0</v>
      </c>
      <c r="H89" s="28">
        <v>0</v>
      </c>
      <c r="I89" s="28">
        <v>0</v>
      </c>
      <c r="J89" s="29">
        <f>SUM(D89:I89)</f>
        <v>300.27</v>
      </c>
      <c r="K89" s="8"/>
      <c r="L89" s="8"/>
    </row>
    <row r="90" spans="1:12">
      <c r="A90" s="8"/>
      <c r="B90" s="8"/>
      <c r="C90" s="8"/>
      <c r="D90" s="20"/>
      <c r="E90" s="20"/>
      <c r="F90" s="15"/>
      <c r="G90" s="15"/>
      <c r="H90" s="15"/>
      <c r="I90" s="15"/>
      <c r="J90" s="20"/>
      <c r="K90" s="8"/>
      <c r="L90" s="8"/>
    </row>
    <row r="91" spans="1:12" ht="15.75" thickBot="1">
      <c r="A91" s="8"/>
      <c r="B91" s="8"/>
      <c r="C91" s="8" t="s">
        <v>10</v>
      </c>
      <c r="D91" s="31">
        <f t="shared" ref="D91:I91" si="12">SUM(D88:D89)</f>
        <v>19063.900000000001</v>
      </c>
      <c r="E91" s="31">
        <f t="shared" si="12"/>
        <v>2.0099999999999998</v>
      </c>
      <c r="F91" s="30">
        <f t="shared" si="12"/>
        <v>0</v>
      </c>
      <c r="G91" s="30">
        <f t="shared" si="12"/>
        <v>0</v>
      </c>
      <c r="H91" s="30">
        <f t="shared" si="12"/>
        <v>0</v>
      </c>
      <c r="I91" s="30">
        <f t="shared" si="12"/>
        <v>0</v>
      </c>
      <c r="J91" s="31">
        <f>SUM(D91:I91)</f>
        <v>19065.91</v>
      </c>
      <c r="K91" s="8"/>
      <c r="L91" s="8"/>
    </row>
    <row r="92" spans="1:12" ht="15.75" thickTop="1">
      <c r="A92" s="8"/>
      <c r="B92" s="8"/>
      <c r="C92" s="8"/>
      <c r="D92" s="20"/>
      <c r="E92" s="20"/>
      <c r="F92" s="15"/>
      <c r="G92" s="15"/>
      <c r="H92" s="15"/>
      <c r="I92" s="15"/>
      <c r="J92" s="20"/>
      <c r="K92" s="8"/>
      <c r="L92" s="8"/>
    </row>
    <row r="93" spans="1:12">
      <c r="A93" s="8"/>
      <c r="B93" s="8"/>
      <c r="C93" s="8"/>
      <c r="D93" s="20"/>
      <c r="E93" s="20"/>
      <c r="F93" s="15"/>
      <c r="G93" s="15"/>
      <c r="H93" s="15"/>
      <c r="I93" s="15"/>
      <c r="J93" s="20"/>
      <c r="K93" s="8"/>
      <c r="L93" s="8"/>
    </row>
    <row r="94" spans="1:12">
      <c r="A94" s="8">
        <v>34</v>
      </c>
      <c r="B94" s="8" t="s">
        <v>27</v>
      </c>
      <c r="C94" s="8" t="s">
        <v>12</v>
      </c>
      <c r="D94" s="20">
        <f>19622.74+5615.2</f>
        <v>25237.940000000002</v>
      </c>
      <c r="E94" s="20">
        <v>462.15</v>
      </c>
      <c r="F94" s="15">
        <v>132.91</v>
      </c>
      <c r="G94" s="15">
        <v>0</v>
      </c>
      <c r="H94" s="15">
        <v>0</v>
      </c>
      <c r="I94" s="15">
        <v>0</v>
      </c>
      <c r="J94" s="20">
        <f>SUM(D94:I94)</f>
        <v>25833.000000000004</v>
      </c>
      <c r="K94" s="8"/>
      <c r="L94" s="8"/>
    </row>
    <row r="95" spans="1:12">
      <c r="A95" s="8"/>
      <c r="B95" s="8"/>
      <c r="C95" s="8" t="s">
        <v>35</v>
      </c>
      <c r="D95" s="20">
        <f>544.95+155.98</f>
        <v>700.93000000000006</v>
      </c>
      <c r="E95" s="20">
        <v>12.99</v>
      </c>
      <c r="F95" s="15">
        <v>3.98</v>
      </c>
      <c r="G95" s="15">
        <v>0</v>
      </c>
      <c r="H95" s="15">
        <v>0</v>
      </c>
      <c r="I95" s="15">
        <v>0</v>
      </c>
      <c r="J95" s="20">
        <f>SUM(D95:I95)</f>
        <v>717.90000000000009</v>
      </c>
      <c r="K95" s="8"/>
      <c r="L95" s="8"/>
    </row>
    <row r="96" spans="1:12">
      <c r="A96" s="8"/>
      <c r="B96" s="8"/>
      <c r="C96" s="8" t="s">
        <v>13</v>
      </c>
      <c r="D96" s="20">
        <f>256.19+73.31</f>
        <v>329.5</v>
      </c>
      <c r="E96" s="20">
        <v>5.55</v>
      </c>
      <c r="F96" s="15">
        <v>1.69</v>
      </c>
      <c r="G96" s="15">
        <v>0</v>
      </c>
      <c r="H96" s="15">
        <v>0</v>
      </c>
      <c r="I96" s="15">
        <v>0</v>
      </c>
      <c r="J96" s="20">
        <f>SUM(D96:I96)</f>
        <v>336.74</v>
      </c>
      <c r="K96" s="8"/>
      <c r="L96" s="8"/>
    </row>
    <row r="97" spans="1:12" ht="15.75" thickBot="1">
      <c r="A97" s="8"/>
      <c r="B97" s="8"/>
      <c r="C97" s="8" t="s">
        <v>78</v>
      </c>
      <c r="D97" s="29">
        <f>1177.48+336.91</f>
        <v>1514.39</v>
      </c>
      <c r="E97" s="29">
        <v>31.93</v>
      </c>
      <c r="F97" s="28">
        <v>9.86</v>
      </c>
      <c r="G97" s="28">
        <v>0</v>
      </c>
      <c r="H97" s="28">
        <v>0</v>
      </c>
      <c r="I97" s="28">
        <v>0</v>
      </c>
      <c r="J97" s="29">
        <f>SUM(D97:I97)</f>
        <v>1556.18</v>
      </c>
      <c r="K97" s="8"/>
      <c r="L97" s="8"/>
    </row>
    <row r="98" spans="1:12">
      <c r="A98" s="8"/>
      <c r="B98" s="8"/>
      <c r="C98" s="8"/>
      <c r="D98" s="20"/>
      <c r="E98" s="20"/>
      <c r="F98" s="15"/>
      <c r="G98" s="15"/>
      <c r="H98" s="15"/>
      <c r="I98" s="15"/>
      <c r="J98" s="20"/>
      <c r="K98" s="8"/>
      <c r="L98" s="8"/>
    </row>
    <row r="99" spans="1:12" ht="15.75" thickBot="1">
      <c r="A99" s="8"/>
      <c r="B99" s="8"/>
      <c r="C99" s="8" t="s">
        <v>10</v>
      </c>
      <c r="D99" s="31">
        <f t="shared" ref="D99:I99" si="13">SUM(D94:D98)</f>
        <v>27782.760000000002</v>
      </c>
      <c r="E99" s="31">
        <f t="shared" si="13"/>
        <v>512.62</v>
      </c>
      <c r="F99" s="30">
        <f t="shared" si="13"/>
        <v>148.44</v>
      </c>
      <c r="G99" s="30">
        <f t="shared" si="13"/>
        <v>0</v>
      </c>
      <c r="H99" s="30">
        <f t="shared" si="13"/>
        <v>0</v>
      </c>
      <c r="I99" s="30">
        <f t="shared" si="13"/>
        <v>0</v>
      </c>
      <c r="J99" s="31">
        <f>SUM(D99:I99)</f>
        <v>28443.82</v>
      </c>
      <c r="K99" s="8"/>
      <c r="L99" s="8"/>
    </row>
    <row r="100" spans="1:12" ht="15.75" thickTop="1">
      <c r="A100" s="8"/>
      <c r="B100" s="8"/>
      <c r="C100" s="8"/>
      <c r="D100" s="20"/>
      <c r="E100" s="20"/>
      <c r="F100" s="15"/>
      <c r="G100" s="15"/>
      <c r="H100" s="15"/>
      <c r="I100" s="15"/>
      <c r="J100" s="20"/>
      <c r="K100" s="8"/>
      <c r="L100" s="8"/>
    </row>
    <row r="101" spans="1:12">
      <c r="A101" s="8"/>
      <c r="B101" s="8"/>
      <c r="C101" s="8"/>
      <c r="D101" s="20"/>
      <c r="E101" s="20"/>
      <c r="F101" s="15"/>
      <c r="G101" s="15"/>
      <c r="H101" s="15"/>
      <c r="I101" s="15"/>
      <c r="J101" s="20"/>
      <c r="K101" s="8"/>
      <c r="L101" s="8"/>
    </row>
    <row r="102" spans="1:12" ht="15.75" thickBot="1">
      <c r="A102" s="8">
        <v>35</v>
      </c>
      <c r="B102" s="8" t="s">
        <v>28</v>
      </c>
      <c r="C102" s="8" t="s">
        <v>12</v>
      </c>
      <c r="D102" s="29">
        <f>9186.79+1825.02</f>
        <v>11011.810000000001</v>
      </c>
      <c r="E102" s="29">
        <v>2.4300000000000002</v>
      </c>
      <c r="F102" s="28">
        <v>2.93</v>
      </c>
      <c r="G102" s="28">
        <v>0</v>
      </c>
      <c r="H102" s="28">
        <v>0</v>
      </c>
      <c r="I102" s="28">
        <v>0</v>
      </c>
      <c r="J102" s="29">
        <f>SUM(D102:I102)</f>
        <v>11017.170000000002</v>
      </c>
      <c r="K102" s="8"/>
      <c r="L102" s="8"/>
    </row>
    <row r="103" spans="1:12">
      <c r="A103" s="8"/>
      <c r="B103" s="8"/>
      <c r="C103" s="8"/>
      <c r="D103" s="20"/>
      <c r="E103" s="20"/>
      <c r="F103" s="15"/>
      <c r="G103" s="15"/>
      <c r="H103" s="15"/>
      <c r="I103" s="15"/>
      <c r="J103" s="20"/>
      <c r="K103" s="8"/>
      <c r="L103" s="8"/>
    </row>
    <row r="104" spans="1:12" ht="15.75" thickBot="1">
      <c r="A104" s="8"/>
      <c r="B104" s="8"/>
      <c r="C104" s="8" t="s">
        <v>10</v>
      </c>
      <c r="D104" s="31">
        <f t="shared" ref="D104:I104" si="14">SUM(D102:D103)</f>
        <v>11011.810000000001</v>
      </c>
      <c r="E104" s="31">
        <f t="shared" si="14"/>
        <v>2.4300000000000002</v>
      </c>
      <c r="F104" s="30">
        <f t="shared" si="14"/>
        <v>2.93</v>
      </c>
      <c r="G104" s="30">
        <f t="shared" si="14"/>
        <v>0</v>
      </c>
      <c r="H104" s="30">
        <f t="shared" si="14"/>
        <v>0</v>
      </c>
      <c r="I104" s="30">
        <f t="shared" si="14"/>
        <v>0</v>
      </c>
      <c r="J104" s="31">
        <f>SUM(D104:I104)</f>
        <v>11017.170000000002</v>
      </c>
      <c r="K104" s="8"/>
      <c r="L104" s="8"/>
    </row>
    <row r="105" spans="1:12" ht="15.75" thickTop="1">
      <c r="A105" s="8"/>
      <c r="B105" s="8"/>
      <c r="C105" s="8"/>
      <c r="D105" s="20"/>
      <c r="E105" s="20"/>
      <c r="F105" s="15"/>
      <c r="G105" s="15"/>
      <c r="H105" s="15"/>
      <c r="I105" s="15"/>
      <c r="J105" s="20"/>
      <c r="K105" s="8"/>
      <c r="L105" s="8"/>
    </row>
    <row r="106" spans="1:12">
      <c r="A106" s="8"/>
      <c r="B106" s="8"/>
      <c r="C106" s="8"/>
      <c r="D106" s="20"/>
      <c r="E106" s="20"/>
      <c r="F106" s="15"/>
      <c r="G106" s="15"/>
      <c r="H106" s="15"/>
      <c r="I106" s="15"/>
      <c r="J106" s="20"/>
      <c r="K106" s="8"/>
      <c r="L106" s="8"/>
    </row>
    <row r="107" spans="1:12">
      <c r="A107" s="8">
        <v>36</v>
      </c>
      <c r="B107" s="8" t="s">
        <v>29</v>
      </c>
      <c r="C107" s="8" t="s">
        <v>12</v>
      </c>
      <c r="D107" s="20">
        <f>15992.03+4363.22</f>
        <v>20355.25</v>
      </c>
      <c r="E107" s="20">
        <v>393.18</v>
      </c>
      <c r="F107" s="15">
        <v>80.13</v>
      </c>
      <c r="G107" s="15">
        <v>0</v>
      </c>
      <c r="H107" s="15">
        <v>0</v>
      </c>
      <c r="I107" s="15">
        <v>0</v>
      </c>
      <c r="J107" s="20">
        <f>SUM(D107:I107)</f>
        <v>20828.560000000001</v>
      </c>
      <c r="K107" s="8"/>
      <c r="L107" s="8"/>
    </row>
    <row r="108" spans="1:12">
      <c r="A108" s="8"/>
      <c r="B108" s="8"/>
      <c r="C108" s="38" t="s">
        <v>13</v>
      </c>
      <c r="D108" s="20">
        <f>204.2+55.75</f>
        <v>259.95</v>
      </c>
      <c r="E108" s="20">
        <v>8.8800000000000008</v>
      </c>
      <c r="F108" s="15">
        <v>1.69</v>
      </c>
      <c r="G108" s="15">
        <v>0</v>
      </c>
      <c r="H108" s="15">
        <v>0</v>
      </c>
      <c r="I108" s="15">
        <v>0</v>
      </c>
      <c r="J108" s="20">
        <f>SUM(D108:I108)</f>
        <v>270.52</v>
      </c>
      <c r="K108" s="8"/>
      <c r="L108" s="8"/>
    </row>
    <row r="109" spans="1:12" ht="15.75" thickBot="1">
      <c r="A109" s="8"/>
      <c r="B109" s="8"/>
      <c r="C109" s="38" t="s">
        <v>109</v>
      </c>
      <c r="D109" s="29">
        <f>1332.63+363.6</f>
        <v>1696.23</v>
      </c>
      <c r="E109" s="29">
        <v>35.78</v>
      </c>
      <c r="F109" s="28">
        <v>7.47</v>
      </c>
      <c r="G109" s="28">
        <v>0</v>
      </c>
      <c r="H109" s="28">
        <v>0</v>
      </c>
      <c r="I109" s="28">
        <v>0</v>
      </c>
      <c r="J109" s="29">
        <f>SUM(D109:I109)</f>
        <v>1739.48</v>
      </c>
      <c r="K109" s="8"/>
      <c r="L109" s="8"/>
    </row>
    <row r="110" spans="1:12">
      <c r="A110" s="8"/>
      <c r="B110" s="8"/>
      <c r="C110" s="8"/>
      <c r="D110" s="20"/>
      <c r="E110" s="20"/>
      <c r="F110" s="15"/>
      <c r="G110" s="15"/>
      <c r="H110" s="15"/>
      <c r="I110" s="15"/>
      <c r="J110" s="20"/>
      <c r="K110" s="8"/>
      <c r="L110" s="8"/>
    </row>
    <row r="111" spans="1:12" ht="15.75" thickBot="1">
      <c r="A111" s="8"/>
      <c r="B111" s="8"/>
      <c r="C111" s="8" t="s">
        <v>10</v>
      </c>
      <c r="D111" s="31">
        <f t="shared" ref="D111:I111" si="15">SUM(D107:D109)</f>
        <v>22311.43</v>
      </c>
      <c r="E111" s="31">
        <f t="shared" si="15"/>
        <v>437.84000000000003</v>
      </c>
      <c r="F111" s="30">
        <f t="shared" si="15"/>
        <v>89.289999999999992</v>
      </c>
      <c r="G111" s="30">
        <f t="shared" si="15"/>
        <v>0</v>
      </c>
      <c r="H111" s="30">
        <f t="shared" si="15"/>
        <v>0</v>
      </c>
      <c r="I111" s="30">
        <f t="shared" si="15"/>
        <v>0</v>
      </c>
      <c r="J111" s="31">
        <f>SUM(D111:I111)</f>
        <v>22838.560000000001</v>
      </c>
      <c r="K111" s="8"/>
      <c r="L111" s="8"/>
    </row>
    <row r="112" spans="1:12" ht="15.75" thickTop="1">
      <c r="A112" s="8"/>
      <c r="B112" s="8"/>
      <c r="C112" s="8"/>
      <c r="D112" s="20"/>
      <c r="E112" s="20"/>
      <c r="F112" s="15"/>
      <c r="G112" s="15"/>
      <c r="H112" s="15"/>
      <c r="I112" s="15"/>
      <c r="J112" s="20"/>
      <c r="K112" s="8"/>
      <c r="L112" s="8"/>
    </row>
    <row r="113" spans="1:12">
      <c r="A113" s="8"/>
      <c r="B113" s="8"/>
      <c r="C113" s="8"/>
      <c r="D113" s="20"/>
      <c r="E113" s="20"/>
      <c r="F113" s="15"/>
      <c r="G113" s="15"/>
      <c r="H113" s="15"/>
      <c r="I113" s="15"/>
      <c r="J113" s="20"/>
      <c r="K113" s="8"/>
      <c r="L113" s="8"/>
    </row>
    <row r="114" spans="1:12" ht="15.75" thickBot="1">
      <c r="A114" s="8">
        <v>37</v>
      </c>
      <c r="B114" s="8" t="s">
        <v>30</v>
      </c>
      <c r="C114" s="8" t="s">
        <v>12</v>
      </c>
      <c r="D114" s="29">
        <f>16836.08+3526.86</f>
        <v>20362.940000000002</v>
      </c>
      <c r="E114" s="29">
        <v>252.78</v>
      </c>
      <c r="F114" s="28">
        <v>10.199999999999999</v>
      </c>
      <c r="G114" s="28">
        <v>0</v>
      </c>
      <c r="H114" s="28">
        <v>0</v>
      </c>
      <c r="I114" s="28">
        <v>0</v>
      </c>
      <c r="J114" s="29">
        <f>SUM(D114:I114)</f>
        <v>20625.920000000002</v>
      </c>
      <c r="K114" s="8"/>
      <c r="L114" s="8"/>
    </row>
    <row r="115" spans="1:12">
      <c r="A115" s="8"/>
      <c r="B115" s="8"/>
      <c r="C115" s="8"/>
      <c r="D115" s="20"/>
      <c r="E115" s="20"/>
      <c r="F115" s="15"/>
      <c r="G115" s="15"/>
      <c r="H115" s="15"/>
      <c r="I115" s="15"/>
      <c r="J115" s="20"/>
      <c r="K115" s="8"/>
      <c r="L115" s="8"/>
    </row>
    <row r="116" spans="1:12" ht="15.75" thickBot="1">
      <c r="A116" s="8"/>
      <c r="B116" s="8"/>
      <c r="C116" s="8" t="s">
        <v>10</v>
      </c>
      <c r="D116" s="31">
        <f t="shared" ref="D116:I116" si="16">SUM(D114:D115)</f>
        <v>20362.940000000002</v>
      </c>
      <c r="E116" s="31">
        <f t="shared" si="16"/>
        <v>252.78</v>
      </c>
      <c r="F116" s="30">
        <f t="shared" si="16"/>
        <v>10.199999999999999</v>
      </c>
      <c r="G116" s="30">
        <f t="shared" si="16"/>
        <v>0</v>
      </c>
      <c r="H116" s="30">
        <f t="shared" si="16"/>
        <v>0</v>
      </c>
      <c r="I116" s="30">
        <f t="shared" si="16"/>
        <v>0</v>
      </c>
      <c r="J116" s="31">
        <f>SUM(D116:I116)</f>
        <v>20625.920000000002</v>
      </c>
      <c r="K116" s="8"/>
      <c r="L116" s="8"/>
    </row>
    <row r="117" spans="1:12" ht="15.75" thickTop="1">
      <c r="A117" s="8"/>
      <c r="B117" s="8"/>
      <c r="C117" s="8"/>
      <c r="D117" s="20"/>
      <c r="E117" s="20"/>
      <c r="F117" s="15"/>
      <c r="G117" s="15"/>
      <c r="H117" s="15"/>
      <c r="I117" s="15"/>
      <c r="J117" s="20"/>
      <c r="K117" s="8"/>
      <c r="L117" s="8"/>
    </row>
    <row r="118" spans="1:12">
      <c r="A118" s="8"/>
      <c r="B118" s="8"/>
      <c r="C118" s="8"/>
      <c r="D118" s="20"/>
      <c r="E118" s="20"/>
      <c r="F118" s="15"/>
      <c r="G118" s="15"/>
      <c r="H118" s="15"/>
      <c r="I118" s="15"/>
      <c r="J118" s="20"/>
      <c r="K118" s="8"/>
      <c r="L118" s="8"/>
    </row>
    <row r="119" spans="1:12">
      <c r="A119" s="8">
        <v>38</v>
      </c>
      <c r="B119" s="8" t="s">
        <v>31</v>
      </c>
      <c r="C119" s="8" t="s">
        <v>12</v>
      </c>
      <c r="D119" s="20">
        <f>3654.51+998.78</f>
        <v>4653.29</v>
      </c>
      <c r="E119" s="35">
        <v>95.34</v>
      </c>
      <c r="F119" s="15">
        <v>0</v>
      </c>
      <c r="G119" s="15">
        <v>0</v>
      </c>
      <c r="H119" s="15">
        <v>0</v>
      </c>
      <c r="I119" s="15">
        <v>0</v>
      </c>
      <c r="J119" s="20">
        <f>SUM(D119:I119)</f>
        <v>4748.63</v>
      </c>
      <c r="K119" s="8"/>
      <c r="L119" s="8"/>
    </row>
    <row r="120" spans="1:12">
      <c r="A120" s="8"/>
      <c r="B120" s="8"/>
      <c r="C120" s="8" t="s">
        <v>35</v>
      </c>
      <c r="D120" s="20">
        <f>662.91+181.15</f>
        <v>844.06</v>
      </c>
      <c r="E120" s="35">
        <v>8.7200000000000006</v>
      </c>
      <c r="F120" s="15">
        <v>0</v>
      </c>
      <c r="G120" s="15">
        <v>0</v>
      </c>
      <c r="H120" s="15">
        <v>0</v>
      </c>
      <c r="I120" s="15">
        <v>0</v>
      </c>
      <c r="J120" s="20">
        <f>SUM(D120:I120)</f>
        <v>852.78</v>
      </c>
      <c r="K120" s="8"/>
      <c r="L120" s="8"/>
    </row>
    <row r="121" spans="1:12">
      <c r="A121" s="8"/>
      <c r="B121" s="8"/>
      <c r="C121" s="8" t="s">
        <v>13</v>
      </c>
      <c r="D121" s="20">
        <f>280.54+76.7</f>
        <v>357.24</v>
      </c>
      <c r="E121" s="35">
        <v>3.41</v>
      </c>
      <c r="F121" s="15">
        <v>0</v>
      </c>
      <c r="G121" s="15">
        <v>0</v>
      </c>
      <c r="H121" s="15">
        <v>0</v>
      </c>
      <c r="I121" s="15">
        <v>0</v>
      </c>
      <c r="J121" s="20">
        <f>SUM(D121:I121)</f>
        <v>360.65000000000003</v>
      </c>
      <c r="K121" s="8"/>
      <c r="L121" s="8"/>
    </row>
    <row r="122" spans="1:12" ht="15.75" thickBot="1">
      <c r="A122" s="8"/>
      <c r="B122" s="8"/>
      <c r="C122" s="8" t="s">
        <v>78</v>
      </c>
      <c r="D122" s="29">
        <f>662.91+181.15</f>
        <v>844.06</v>
      </c>
      <c r="E122" s="34">
        <v>8.84</v>
      </c>
      <c r="F122" s="28">
        <v>0</v>
      </c>
      <c r="G122" s="28">
        <v>0</v>
      </c>
      <c r="H122" s="28">
        <v>0</v>
      </c>
      <c r="I122" s="28">
        <v>0</v>
      </c>
      <c r="J122" s="29">
        <f>SUM(D122:I122)</f>
        <v>852.9</v>
      </c>
      <c r="K122" s="8"/>
      <c r="L122" s="8"/>
    </row>
    <row r="123" spans="1:12">
      <c r="A123" s="8"/>
      <c r="B123" s="8"/>
      <c r="C123" s="8"/>
      <c r="D123" s="20"/>
      <c r="E123" s="35"/>
      <c r="F123" s="15"/>
      <c r="G123" s="15"/>
      <c r="H123" s="15"/>
      <c r="I123" s="15"/>
      <c r="J123" s="20"/>
      <c r="K123" s="8"/>
      <c r="L123" s="8"/>
    </row>
    <row r="124" spans="1:12" ht="15.75" thickBot="1">
      <c r="A124" s="8"/>
      <c r="B124" s="8"/>
      <c r="C124" s="8" t="s">
        <v>10</v>
      </c>
      <c r="D124" s="31">
        <f t="shared" ref="D124:I124" si="17">SUM(D119:D122)</f>
        <v>6698.65</v>
      </c>
      <c r="E124" s="44">
        <f t="shared" si="17"/>
        <v>116.31</v>
      </c>
      <c r="F124" s="30">
        <f t="shared" si="17"/>
        <v>0</v>
      </c>
      <c r="G124" s="30">
        <f t="shared" si="17"/>
        <v>0</v>
      </c>
      <c r="H124" s="30">
        <f t="shared" si="17"/>
        <v>0</v>
      </c>
      <c r="I124" s="30">
        <f t="shared" si="17"/>
        <v>0</v>
      </c>
      <c r="J124" s="31">
        <f>SUM(D124:I124)</f>
        <v>6814.96</v>
      </c>
      <c r="K124" s="8"/>
      <c r="L124" s="8"/>
    </row>
    <row r="125" spans="1:12" ht="15.75" thickTop="1">
      <c r="A125" s="8"/>
      <c r="B125" s="8"/>
      <c r="C125" s="8"/>
      <c r="D125" s="20"/>
      <c r="E125" s="20"/>
      <c r="F125" s="15"/>
      <c r="G125" s="15"/>
      <c r="H125" s="15"/>
      <c r="I125" s="15"/>
      <c r="J125" s="20"/>
      <c r="K125" s="8"/>
      <c r="L125" s="8"/>
    </row>
    <row r="126" spans="1:12">
      <c r="A126" s="8"/>
      <c r="B126" s="8"/>
      <c r="C126" s="8"/>
      <c r="D126" s="20"/>
      <c r="E126" s="20"/>
      <c r="F126" s="15"/>
      <c r="G126" s="15"/>
      <c r="H126" s="15"/>
      <c r="I126" s="15"/>
      <c r="J126" s="20"/>
      <c r="K126" s="8"/>
      <c r="L126" s="8"/>
    </row>
    <row r="127" spans="1:12" ht="15.75" thickBot="1">
      <c r="A127" s="8">
        <v>39</v>
      </c>
      <c r="B127" s="8" t="s">
        <v>32</v>
      </c>
      <c r="C127" s="8" t="s">
        <v>12</v>
      </c>
      <c r="D127" s="34">
        <v>0</v>
      </c>
      <c r="E127" s="34">
        <v>0</v>
      </c>
      <c r="F127" s="28">
        <v>0</v>
      </c>
      <c r="G127" s="28">
        <v>0</v>
      </c>
      <c r="H127" s="28">
        <v>0</v>
      </c>
      <c r="I127" s="28">
        <v>0</v>
      </c>
      <c r="J127" s="34">
        <f>SUM(D127:I127)</f>
        <v>0</v>
      </c>
      <c r="K127" s="8"/>
      <c r="L127" s="8"/>
    </row>
    <row r="128" spans="1:12">
      <c r="A128" s="8"/>
      <c r="B128" s="8"/>
      <c r="C128" s="8"/>
      <c r="D128" s="35"/>
      <c r="E128" s="35"/>
      <c r="F128" s="15"/>
      <c r="G128" s="15"/>
      <c r="H128" s="15"/>
      <c r="I128" s="15"/>
      <c r="J128" s="20"/>
      <c r="K128" s="8"/>
      <c r="L128" s="8"/>
    </row>
    <row r="129" spans="1:12" ht="15.75" thickBot="1">
      <c r="A129" s="8"/>
      <c r="B129" s="8"/>
      <c r="C129" s="8" t="s">
        <v>10</v>
      </c>
      <c r="D129" s="44">
        <f>D127</f>
        <v>0</v>
      </c>
      <c r="E129" s="44">
        <f t="shared" ref="E129:J129" si="18">E127</f>
        <v>0</v>
      </c>
      <c r="F129" s="30">
        <f t="shared" si="18"/>
        <v>0</v>
      </c>
      <c r="G129" s="30">
        <f t="shared" si="18"/>
        <v>0</v>
      </c>
      <c r="H129" s="30">
        <f t="shared" si="18"/>
        <v>0</v>
      </c>
      <c r="I129" s="30">
        <f t="shared" si="18"/>
        <v>0</v>
      </c>
      <c r="J129" s="30">
        <f t="shared" si="18"/>
        <v>0</v>
      </c>
      <c r="K129" s="8"/>
      <c r="L129" s="8"/>
    </row>
    <row r="130" spans="1:12" ht="15.75" thickTop="1">
      <c r="A130" s="8"/>
      <c r="B130" s="8"/>
      <c r="C130" s="8"/>
      <c r="D130" s="20"/>
      <c r="E130" s="20"/>
      <c r="F130" s="15"/>
      <c r="G130" s="15"/>
      <c r="H130" s="15"/>
      <c r="I130" s="15"/>
      <c r="J130" s="20"/>
      <c r="K130" s="8"/>
      <c r="L130" s="8"/>
    </row>
    <row r="131" spans="1:12">
      <c r="A131" s="8"/>
      <c r="B131" s="8"/>
      <c r="C131" s="8"/>
      <c r="D131" s="20"/>
      <c r="E131" s="20"/>
      <c r="F131" s="15"/>
      <c r="G131" s="15"/>
      <c r="H131" s="15"/>
      <c r="I131" s="15"/>
      <c r="J131" s="20"/>
      <c r="K131" s="8"/>
      <c r="L131" s="8"/>
    </row>
    <row r="132" spans="1:12" ht="15.75" thickBot="1">
      <c r="A132" s="8">
        <v>40</v>
      </c>
      <c r="B132" s="8" t="s">
        <v>33</v>
      </c>
      <c r="C132" s="8" t="s">
        <v>12</v>
      </c>
      <c r="D132" s="29">
        <f>9490.07+2529.31</f>
        <v>12019.38</v>
      </c>
      <c r="E132" s="34">
        <v>66.319999999999993</v>
      </c>
      <c r="F132" s="28">
        <v>0</v>
      </c>
      <c r="G132" s="28">
        <v>0</v>
      </c>
      <c r="H132" s="28">
        <v>0</v>
      </c>
      <c r="I132" s="28">
        <v>0</v>
      </c>
      <c r="J132" s="29">
        <f>SUM(D132:I132)</f>
        <v>12085.699999999999</v>
      </c>
      <c r="K132" s="8"/>
      <c r="L132" s="8"/>
    </row>
    <row r="133" spans="1:12">
      <c r="A133" s="8"/>
      <c r="B133" s="8"/>
      <c r="C133" s="8"/>
      <c r="D133" s="20"/>
      <c r="E133" s="35"/>
      <c r="F133" s="15"/>
      <c r="G133" s="15"/>
      <c r="H133" s="15"/>
      <c r="I133" s="15"/>
      <c r="J133" s="20"/>
      <c r="K133" s="8"/>
      <c r="L133" s="8"/>
    </row>
    <row r="134" spans="1:12" ht="15.75" thickBot="1">
      <c r="A134" s="8"/>
      <c r="B134" s="8"/>
      <c r="C134" s="8" t="s">
        <v>10</v>
      </c>
      <c r="D134" s="31">
        <f t="shared" ref="D134:I134" si="19">SUM(D132:D133)</f>
        <v>12019.38</v>
      </c>
      <c r="E134" s="44">
        <f t="shared" si="19"/>
        <v>66.319999999999993</v>
      </c>
      <c r="F134" s="30">
        <f t="shared" si="19"/>
        <v>0</v>
      </c>
      <c r="G134" s="30">
        <f t="shared" si="19"/>
        <v>0</v>
      </c>
      <c r="H134" s="30">
        <f t="shared" si="19"/>
        <v>0</v>
      </c>
      <c r="I134" s="30">
        <f t="shared" si="19"/>
        <v>0</v>
      </c>
      <c r="J134" s="31">
        <f>SUM(D134:I134)</f>
        <v>12085.699999999999</v>
      </c>
      <c r="K134" s="8"/>
      <c r="L134" s="8"/>
    </row>
    <row r="135" spans="1:12" ht="15.75" thickTop="1">
      <c r="A135" s="8"/>
      <c r="B135" s="8"/>
      <c r="C135" s="8"/>
      <c r="D135" s="20"/>
      <c r="E135" s="20"/>
      <c r="F135" s="15"/>
      <c r="G135" s="15"/>
      <c r="H135" s="15"/>
      <c r="I135" s="15"/>
      <c r="J135" s="20"/>
      <c r="K135" s="8"/>
      <c r="L135" s="8"/>
    </row>
    <row r="136" spans="1:12">
      <c r="A136" s="8"/>
      <c r="B136" s="8"/>
      <c r="C136" s="8"/>
      <c r="D136" s="20"/>
      <c r="E136" s="20"/>
      <c r="F136" s="15"/>
      <c r="G136" s="15"/>
      <c r="H136" s="15"/>
      <c r="I136" s="15"/>
      <c r="J136" s="20"/>
      <c r="K136" s="8"/>
      <c r="L136" s="8"/>
    </row>
    <row r="137" spans="1:12">
      <c r="A137" s="8">
        <v>41</v>
      </c>
      <c r="B137" s="8" t="s">
        <v>34</v>
      </c>
      <c r="C137" s="8" t="s">
        <v>12</v>
      </c>
      <c r="D137" s="20">
        <f>11853.67+2430.95</f>
        <v>14284.619999999999</v>
      </c>
      <c r="E137" s="41">
        <v>160.72999999999999</v>
      </c>
      <c r="F137" s="15">
        <v>0</v>
      </c>
      <c r="G137" s="15">
        <v>0</v>
      </c>
      <c r="H137" s="15">
        <v>0</v>
      </c>
      <c r="I137" s="15">
        <v>0</v>
      </c>
      <c r="J137" s="20">
        <f>SUM(D137:I137)</f>
        <v>14445.349999999999</v>
      </c>
      <c r="K137" s="8"/>
      <c r="L137" s="8"/>
    </row>
    <row r="138" spans="1:12">
      <c r="A138" s="8"/>
      <c r="B138" s="8"/>
      <c r="C138" s="38" t="s">
        <v>35</v>
      </c>
      <c r="D138" s="20">
        <f>669.78+137.34</f>
        <v>807.12</v>
      </c>
      <c r="E138" s="41">
        <v>8.84</v>
      </c>
      <c r="F138" s="15">
        <v>0</v>
      </c>
      <c r="G138" s="15">
        <v>0</v>
      </c>
      <c r="H138" s="15">
        <v>0</v>
      </c>
      <c r="I138" s="15">
        <v>0</v>
      </c>
      <c r="J138" s="20">
        <f>SUM(D138:I138)</f>
        <v>815.96</v>
      </c>
      <c r="K138" s="8"/>
      <c r="L138" s="8"/>
    </row>
    <row r="139" spans="1:12" ht="15.75" thickBot="1">
      <c r="A139" s="8"/>
      <c r="B139" s="8"/>
      <c r="C139" s="38" t="s">
        <v>109</v>
      </c>
      <c r="D139" s="29">
        <f>1466.73+300.78</f>
        <v>1767.51</v>
      </c>
      <c r="E139" s="42">
        <v>21.18</v>
      </c>
      <c r="F139" s="28">
        <v>0</v>
      </c>
      <c r="G139" s="28">
        <v>0</v>
      </c>
      <c r="H139" s="28">
        <v>0</v>
      </c>
      <c r="I139" s="28">
        <v>0</v>
      </c>
      <c r="J139" s="29">
        <f>SUM(D139:I139)</f>
        <v>1788.69</v>
      </c>
      <c r="K139" s="8"/>
      <c r="L139" s="8"/>
    </row>
    <row r="140" spans="1:12">
      <c r="A140" s="8"/>
      <c r="B140" s="8"/>
      <c r="C140" s="8"/>
      <c r="D140" s="20"/>
      <c r="E140" s="41"/>
      <c r="F140" s="15"/>
      <c r="G140" s="15"/>
      <c r="H140" s="15"/>
      <c r="I140" s="15"/>
      <c r="J140" s="20"/>
      <c r="K140" s="8"/>
      <c r="L140" s="8"/>
    </row>
    <row r="141" spans="1:12" ht="15.75" thickBot="1">
      <c r="A141" s="8"/>
      <c r="B141" s="8"/>
      <c r="C141" s="8" t="s">
        <v>10</v>
      </c>
      <c r="D141" s="31">
        <f t="shared" ref="D141:I141" si="20">SUM(D137:D139)</f>
        <v>16859.25</v>
      </c>
      <c r="E141" s="43">
        <f t="shared" si="20"/>
        <v>190.75</v>
      </c>
      <c r="F141" s="30">
        <f t="shared" si="20"/>
        <v>0</v>
      </c>
      <c r="G141" s="30">
        <f t="shared" si="20"/>
        <v>0</v>
      </c>
      <c r="H141" s="30">
        <f t="shared" si="20"/>
        <v>0</v>
      </c>
      <c r="I141" s="30">
        <f t="shared" si="20"/>
        <v>0</v>
      </c>
      <c r="J141" s="31">
        <f>SUM(D141:I141)</f>
        <v>17050</v>
      </c>
      <c r="K141" s="8"/>
      <c r="L141" s="8"/>
    </row>
    <row r="142" spans="1:12" ht="15.75" thickTop="1">
      <c r="A142" s="8"/>
      <c r="B142" s="8"/>
      <c r="C142" s="8"/>
      <c r="D142" s="20"/>
      <c r="E142" s="20"/>
      <c r="F142" s="15"/>
      <c r="G142" s="15"/>
      <c r="H142" s="15"/>
      <c r="I142" s="15"/>
      <c r="J142" s="20"/>
      <c r="K142" s="8"/>
      <c r="L142" s="8"/>
    </row>
    <row r="143" spans="1:12">
      <c r="A143" s="8"/>
      <c r="B143" s="8"/>
      <c r="C143" s="8"/>
      <c r="D143" s="20"/>
      <c r="E143" s="20"/>
      <c r="F143" s="15"/>
      <c r="G143" s="15"/>
      <c r="H143" s="15"/>
      <c r="I143" s="15"/>
      <c r="J143" s="20"/>
      <c r="K143" s="8"/>
      <c r="L143" s="8"/>
    </row>
    <row r="144" spans="1:12">
      <c r="A144" s="8">
        <v>42</v>
      </c>
      <c r="B144" s="8" t="s">
        <v>36</v>
      </c>
      <c r="C144" s="8" t="s">
        <v>12</v>
      </c>
      <c r="D144" s="20">
        <f>12530.28+3599.88</f>
        <v>16130.16</v>
      </c>
      <c r="E144" s="20">
        <v>493.7</v>
      </c>
      <c r="F144" s="40">
        <v>0</v>
      </c>
      <c r="G144" s="15">
        <v>0</v>
      </c>
      <c r="H144" s="15">
        <v>0</v>
      </c>
      <c r="I144" s="15">
        <v>0</v>
      </c>
      <c r="J144" s="20">
        <f>SUM(D144:I144)</f>
        <v>16623.86</v>
      </c>
      <c r="K144" s="8"/>
      <c r="L144" s="8"/>
    </row>
    <row r="145" spans="1:12" ht="15.75" thickBot="1">
      <c r="A145" s="8"/>
      <c r="B145" s="8"/>
      <c r="C145" s="8" t="s">
        <v>13</v>
      </c>
      <c r="D145" s="29">
        <f>846.06+214.37</f>
        <v>1060.4299999999998</v>
      </c>
      <c r="E145" s="29">
        <v>13.42</v>
      </c>
      <c r="F145" s="28">
        <v>0</v>
      </c>
      <c r="G145" s="28">
        <v>0</v>
      </c>
      <c r="H145" s="28">
        <v>0</v>
      </c>
      <c r="I145" s="28">
        <v>0</v>
      </c>
      <c r="J145" s="29">
        <f>SUM(D145:I145)</f>
        <v>1073.8499999999999</v>
      </c>
      <c r="K145" s="8"/>
      <c r="L145" s="8"/>
    </row>
    <row r="146" spans="1:12">
      <c r="A146" s="8"/>
      <c r="B146" s="8"/>
      <c r="C146" s="8"/>
      <c r="D146" s="20"/>
      <c r="E146" s="20"/>
      <c r="F146" s="15"/>
      <c r="G146" s="15"/>
      <c r="H146" s="15"/>
      <c r="I146" s="15"/>
      <c r="J146" s="20"/>
      <c r="K146" s="8"/>
      <c r="L146" s="8"/>
    </row>
    <row r="147" spans="1:12" ht="15.75" thickBot="1">
      <c r="A147" s="8"/>
      <c r="B147" s="8"/>
      <c r="C147" s="8" t="s">
        <v>10</v>
      </c>
      <c r="D147" s="31">
        <f t="shared" ref="D147:I147" si="21">SUM(D144:D145)</f>
        <v>17190.59</v>
      </c>
      <c r="E147" s="31">
        <f t="shared" si="21"/>
        <v>507.12</v>
      </c>
      <c r="F147" s="30">
        <f t="shared" si="21"/>
        <v>0</v>
      </c>
      <c r="G147" s="30">
        <f t="shared" si="21"/>
        <v>0</v>
      </c>
      <c r="H147" s="30">
        <f t="shared" si="21"/>
        <v>0</v>
      </c>
      <c r="I147" s="30">
        <f t="shared" si="21"/>
        <v>0</v>
      </c>
      <c r="J147" s="31">
        <f>SUM(D147:I147)</f>
        <v>17697.71</v>
      </c>
      <c r="K147" s="8"/>
      <c r="L147" s="8"/>
    </row>
    <row r="148" spans="1:12" ht="15.75" thickTop="1">
      <c r="A148" s="8"/>
      <c r="B148" s="8"/>
      <c r="C148" s="8"/>
      <c r="D148" s="20"/>
      <c r="E148" s="20"/>
      <c r="F148" s="15"/>
      <c r="G148" s="15"/>
      <c r="H148" s="15"/>
      <c r="I148" s="15"/>
      <c r="J148" s="20"/>
      <c r="K148" s="8"/>
      <c r="L148" s="8"/>
    </row>
    <row r="149" spans="1:12">
      <c r="A149" s="8"/>
      <c r="B149" s="8"/>
      <c r="C149" s="8"/>
      <c r="D149" s="20"/>
      <c r="E149" s="20"/>
      <c r="F149" s="15"/>
      <c r="G149" s="15"/>
      <c r="H149" s="15"/>
      <c r="I149" s="15"/>
      <c r="J149" s="20"/>
      <c r="K149" s="8"/>
      <c r="L149" s="8"/>
    </row>
    <row r="150" spans="1:12">
      <c r="A150" s="8">
        <v>43</v>
      </c>
      <c r="B150" s="8" t="s">
        <v>37</v>
      </c>
      <c r="C150" s="8" t="s">
        <v>12</v>
      </c>
      <c r="D150" s="20">
        <f>16632.58+6543.66</f>
        <v>23176.240000000002</v>
      </c>
      <c r="E150" s="35">
        <v>11.78</v>
      </c>
      <c r="F150" s="15">
        <v>0</v>
      </c>
      <c r="G150" s="15">
        <v>0</v>
      </c>
      <c r="H150" s="15">
        <v>0</v>
      </c>
      <c r="I150" s="15">
        <v>0</v>
      </c>
      <c r="J150" s="20">
        <f>SUM(D150:I150)</f>
        <v>23188.02</v>
      </c>
      <c r="K150" s="8"/>
      <c r="L150" s="8"/>
    </row>
    <row r="151" spans="1:12">
      <c r="A151" s="8"/>
      <c r="B151" s="8"/>
      <c r="C151" s="8" t="s">
        <v>35</v>
      </c>
      <c r="D151" s="20">
        <f>462.03+181.77</f>
        <v>643.79999999999995</v>
      </c>
      <c r="E151" s="35">
        <v>0.24</v>
      </c>
      <c r="F151" s="15">
        <v>0</v>
      </c>
      <c r="G151" s="15">
        <v>0</v>
      </c>
      <c r="H151" s="15">
        <v>0</v>
      </c>
      <c r="I151" s="15">
        <v>0</v>
      </c>
      <c r="J151" s="20">
        <f>SUM(D151:I151)</f>
        <v>644.04</v>
      </c>
      <c r="K151" s="8"/>
      <c r="L151" s="8"/>
    </row>
    <row r="152" spans="1:12">
      <c r="A152" s="8"/>
      <c r="B152" s="8"/>
      <c r="C152" s="8" t="s">
        <v>13</v>
      </c>
      <c r="D152" s="20">
        <f>212.66+83.61</f>
        <v>296.27</v>
      </c>
      <c r="E152" s="35">
        <v>0.28999999999999998</v>
      </c>
      <c r="F152" s="15">
        <v>0</v>
      </c>
      <c r="G152" s="15">
        <v>0</v>
      </c>
      <c r="H152" s="15">
        <v>0</v>
      </c>
      <c r="I152" s="15">
        <v>0</v>
      </c>
      <c r="J152" s="20">
        <f>SUM(D152:I152)</f>
        <v>296.56</v>
      </c>
      <c r="K152" s="8"/>
      <c r="L152" s="8"/>
    </row>
    <row r="153" spans="1:12" ht="15.75" thickBot="1">
      <c r="A153" s="8"/>
      <c r="B153" s="8"/>
      <c r="C153" s="8" t="s">
        <v>78</v>
      </c>
      <c r="D153" s="29">
        <f>1386.06+545.31</f>
        <v>1931.37</v>
      </c>
      <c r="E153" s="34">
        <v>0.67</v>
      </c>
      <c r="F153" s="28">
        <v>0</v>
      </c>
      <c r="G153" s="28">
        <v>0</v>
      </c>
      <c r="H153" s="28">
        <v>0</v>
      </c>
      <c r="I153" s="28">
        <v>0</v>
      </c>
      <c r="J153" s="29">
        <f>SUM(D153:I153)</f>
        <v>1932.04</v>
      </c>
      <c r="K153" s="8"/>
      <c r="L153" s="8"/>
    </row>
    <row r="154" spans="1:12">
      <c r="A154" s="8"/>
      <c r="B154" s="8"/>
      <c r="C154" s="8"/>
      <c r="D154" s="20"/>
      <c r="E154" s="35"/>
      <c r="F154" s="15"/>
      <c r="G154" s="15"/>
      <c r="H154" s="15"/>
      <c r="I154" s="15"/>
      <c r="J154" s="20"/>
      <c r="K154" s="8"/>
      <c r="L154" s="8"/>
    </row>
    <row r="155" spans="1:12" ht="15.75" thickBot="1">
      <c r="A155" s="8"/>
      <c r="B155" s="8"/>
      <c r="C155" s="8" t="s">
        <v>10</v>
      </c>
      <c r="D155" s="31">
        <f t="shared" ref="D155:I155" si="22">SUM(D150:D153)</f>
        <v>26047.68</v>
      </c>
      <c r="E155" s="44">
        <f>SUM(E150:E153)</f>
        <v>12.979999999999999</v>
      </c>
      <c r="F155" s="30">
        <f t="shared" si="22"/>
        <v>0</v>
      </c>
      <c r="G155" s="30">
        <f t="shared" si="22"/>
        <v>0</v>
      </c>
      <c r="H155" s="30">
        <f t="shared" si="22"/>
        <v>0</v>
      </c>
      <c r="I155" s="30">
        <f t="shared" si="22"/>
        <v>0</v>
      </c>
      <c r="J155" s="31">
        <f>SUM(D155:I155)</f>
        <v>26060.66</v>
      </c>
      <c r="K155" s="8"/>
      <c r="L155" s="8"/>
    </row>
    <row r="156" spans="1:12" ht="15.75" thickTop="1">
      <c r="A156" s="8"/>
      <c r="B156" s="8"/>
      <c r="C156" s="8"/>
      <c r="D156" s="20"/>
      <c r="E156" s="20"/>
      <c r="F156" s="15"/>
      <c r="G156" s="15"/>
      <c r="H156" s="15"/>
      <c r="I156" s="15"/>
      <c r="J156" s="20"/>
      <c r="K156" s="8"/>
      <c r="L156" s="8"/>
    </row>
    <row r="157" spans="1:12">
      <c r="A157" s="8"/>
      <c r="B157" s="8"/>
      <c r="C157" s="8"/>
      <c r="D157" s="20"/>
      <c r="E157" s="20"/>
      <c r="F157" s="15"/>
      <c r="G157" s="15"/>
      <c r="H157" s="15"/>
      <c r="I157" s="15"/>
      <c r="J157" s="20"/>
      <c r="K157" s="8"/>
      <c r="L157" s="8"/>
    </row>
    <row r="158" spans="1:12" ht="15.75" thickBot="1">
      <c r="A158" s="8">
        <v>44</v>
      </c>
      <c r="B158" s="8" t="s">
        <v>38</v>
      </c>
      <c r="C158" s="8" t="s">
        <v>12</v>
      </c>
      <c r="D158" s="29">
        <f>18272.88+3841.13</f>
        <v>22114.010000000002</v>
      </c>
      <c r="E158" s="29">
        <v>463.13</v>
      </c>
      <c r="F158" s="28">
        <v>67.680000000000007</v>
      </c>
      <c r="G158" s="28">
        <v>0</v>
      </c>
      <c r="H158" s="28">
        <v>0</v>
      </c>
      <c r="I158" s="28">
        <v>0</v>
      </c>
      <c r="J158" s="29">
        <f>SUM(D158:I158)</f>
        <v>22644.820000000003</v>
      </c>
      <c r="K158" s="8"/>
      <c r="L158" s="8"/>
    </row>
    <row r="159" spans="1:12">
      <c r="A159" s="8"/>
      <c r="B159" s="8"/>
      <c r="C159" s="8"/>
      <c r="D159" s="20"/>
      <c r="E159" s="20"/>
      <c r="F159" s="15"/>
      <c r="G159" s="15"/>
      <c r="H159" s="15"/>
      <c r="I159" s="15"/>
      <c r="J159" s="20"/>
      <c r="K159" s="8"/>
      <c r="L159" s="8"/>
    </row>
    <row r="160" spans="1:12" ht="15.75" thickBot="1">
      <c r="A160" s="8"/>
      <c r="B160" s="8"/>
      <c r="C160" s="8" t="s">
        <v>10</v>
      </c>
      <c r="D160" s="31">
        <f t="shared" ref="D160:I160" si="23">SUM(D158:D159)</f>
        <v>22114.010000000002</v>
      </c>
      <c r="E160" s="31">
        <f t="shared" si="23"/>
        <v>463.13</v>
      </c>
      <c r="F160" s="30">
        <f t="shared" si="23"/>
        <v>67.680000000000007</v>
      </c>
      <c r="G160" s="30">
        <f t="shared" si="23"/>
        <v>0</v>
      </c>
      <c r="H160" s="30">
        <f t="shared" si="23"/>
        <v>0</v>
      </c>
      <c r="I160" s="30">
        <f t="shared" si="23"/>
        <v>0</v>
      </c>
      <c r="J160" s="31">
        <f>SUM(D160:I160)</f>
        <v>22644.820000000003</v>
      </c>
      <c r="K160" s="8"/>
      <c r="L160" s="8"/>
    </row>
    <row r="161" spans="1:12" ht="15.75" thickTop="1">
      <c r="A161" s="8"/>
      <c r="B161" s="8"/>
      <c r="C161" s="8"/>
      <c r="D161" s="20"/>
      <c r="E161" s="20"/>
      <c r="F161" s="15"/>
      <c r="G161" s="15" t="s">
        <v>70</v>
      </c>
      <c r="H161" s="15" t="s">
        <v>70</v>
      </c>
      <c r="I161" s="15" t="s">
        <v>70</v>
      </c>
      <c r="J161" s="20"/>
      <c r="K161" s="8"/>
      <c r="L161" s="8"/>
    </row>
    <row r="162" spans="1:12">
      <c r="A162" s="8"/>
      <c r="B162" s="8"/>
      <c r="C162" s="8"/>
      <c r="D162" s="20"/>
      <c r="E162" s="20"/>
      <c r="F162" s="15"/>
      <c r="G162" s="15"/>
      <c r="H162" s="15"/>
      <c r="I162" s="15"/>
      <c r="J162" s="20"/>
      <c r="K162" s="8"/>
      <c r="L162" s="8"/>
    </row>
    <row r="163" spans="1:12">
      <c r="A163" s="8">
        <v>45</v>
      </c>
      <c r="B163" s="8" t="s">
        <v>39</v>
      </c>
      <c r="C163" s="8" t="s">
        <v>12</v>
      </c>
      <c r="D163" s="20">
        <f>14449.92+2847.7</f>
        <v>17297.62</v>
      </c>
      <c r="E163" s="20">
        <v>944.48</v>
      </c>
      <c r="F163" s="15">
        <v>907.32</v>
      </c>
      <c r="G163" s="15">
        <v>0</v>
      </c>
      <c r="H163" s="15">
        <v>0</v>
      </c>
      <c r="I163" s="15">
        <v>0</v>
      </c>
      <c r="J163" s="20">
        <f>SUM(D163:I163)</f>
        <v>19149.419999999998</v>
      </c>
      <c r="K163" s="8"/>
      <c r="L163" s="8"/>
    </row>
    <row r="164" spans="1:12" ht="15.75" thickBot="1">
      <c r="A164" s="8"/>
      <c r="B164" s="8"/>
      <c r="C164" s="38" t="s">
        <v>116</v>
      </c>
      <c r="D164" s="29">
        <f>6422.27+1265.65</f>
        <v>7687.92</v>
      </c>
      <c r="E164" s="29">
        <v>0</v>
      </c>
      <c r="F164" s="28">
        <v>0</v>
      </c>
      <c r="G164" s="28">
        <v>0</v>
      </c>
      <c r="H164" s="28">
        <v>0</v>
      </c>
      <c r="I164" s="28">
        <v>0</v>
      </c>
      <c r="J164" s="29">
        <f>SUM(D164:I164)</f>
        <v>7687.92</v>
      </c>
      <c r="K164" s="8"/>
      <c r="L164" s="8"/>
    </row>
    <row r="165" spans="1:12">
      <c r="A165" s="8"/>
      <c r="B165" s="8"/>
      <c r="C165" s="8"/>
      <c r="D165" s="20"/>
      <c r="E165" s="20"/>
      <c r="F165" s="15"/>
      <c r="G165" s="15"/>
      <c r="H165" s="15"/>
      <c r="I165" s="15"/>
      <c r="J165" s="20"/>
      <c r="K165" s="8"/>
      <c r="L165" s="8"/>
    </row>
    <row r="166" spans="1:12" ht="15.75" thickBot="1">
      <c r="A166" s="8"/>
      <c r="B166" s="8"/>
      <c r="C166" s="8" t="s">
        <v>10</v>
      </c>
      <c r="D166" s="31">
        <f t="shared" ref="D166:I166" si="24">SUM(D163:D165)</f>
        <v>24985.54</v>
      </c>
      <c r="E166" s="31">
        <f t="shared" si="24"/>
        <v>944.48</v>
      </c>
      <c r="F166" s="30">
        <f t="shared" si="24"/>
        <v>907.32</v>
      </c>
      <c r="G166" s="30">
        <f t="shared" si="24"/>
        <v>0</v>
      </c>
      <c r="H166" s="30">
        <f t="shared" si="24"/>
        <v>0</v>
      </c>
      <c r="I166" s="30">
        <f t="shared" si="24"/>
        <v>0</v>
      </c>
      <c r="J166" s="31">
        <f>SUM(D166:I166)</f>
        <v>26837.34</v>
      </c>
      <c r="K166" s="8"/>
      <c r="L166" s="8"/>
    </row>
    <row r="167" spans="1:12" ht="15.75" thickTop="1">
      <c r="A167" s="8"/>
      <c r="B167" s="8"/>
      <c r="C167" s="8"/>
      <c r="D167" s="20"/>
      <c r="E167" s="20"/>
      <c r="F167" s="15"/>
      <c r="G167" s="15"/>
      <c r="H167" s="15"/>
      <c r="I167" s="15"/>
      <c r="J167" s="20"/>
      <c r="K167" s="8"/>
      <c r="L167" s="8"/>
    </row>
    <row r="168" spans="1:12">
      <c r="A168" s="8"/>
      <c r="B168" s="8"/>
      <c r="C168" s="8"/>
      <c r="D168" s="20"/>
      <c r="E168" s="20"/>
      <c r="F168" s="15"/>
      <c r="G168" s="15"/>
      <c r="H168" s="15"/>
      <c r="I168" s="15"/>
      <c r="J168" s="20"/>
      <c r="K168" s="8"/>
      <c r="L168" s="8"/>
    </row>
    <row r="169" spans="1:12" ht="15.75" thickBot="1">
      <c r="A169" s="8">
        <v>46</v>
      </c>
      <c r="B169" s="8" t="s">
        <v>40</v>
      </c>
      <c r="C169" s="8" t="s">
        <v>12</v>
      </c>
      <c r="D169" s="29">
        <f>9468.67+2043.8</f>
        <v>11512.47</v>
      </c>
      <c r="E169" s="34">
        <v>0</v>
      </c>
      <c r="F169" s="28">
        <v>0</v>
      </c>
      <c r="G169" s="28">
        <v>0</v>
      </c>
      <c r="H169" s="28">
        <v>0</v>
      </c>
      <c r="I169" s="28">
        <v>0</v>
      </c>
      <c r="J169" s="29">
        <f>SUM(D169:I169)</f>
        <v>11512.47</v>
      </c>
      <c r="K169" s="8"/>
      <c r="L169" s="8"/>
    </row>
    <row r="170" spans="1:12">
      <c r="A170" s="8"/>
      <c r="B170" s="8"/>
      <c r="C170" s="8"/>
      <c r="D170" s="20"/>
      <c r="E170" s="35"/>
      <c r="F170" s="15"/>
      <c r="G170" s="15"/>
      <c r="H170" s="15"/>
      <c r="I170" s="15"/>
      <c r="J170" s="20"/>
      <c r="K170" s="8"/>
      <c r="L170" s="8"/>
    </row>
    <row r="171" spans="1:12" ht="15.75" thickBot="1">
      <c r="A171" s="8"/>
      <c r="B171" s="8"/>
      <c r="C171" s="8" t="s">
        <v>10</v>
      </c>
      <c r="D171" s="31">
        <f t="shared" ref="D171:I171" si="25">SUM(D169:D170)</f>
        <v>11512.47</v>
      </c>
      <c r="E171" s="44">
        <f t="shared" si="25"/>
        <v>0</v>
      </c>
      <c r="F171" s="30">
        <f t="shared" si="25"/>
        <v>0</v>
      </c>
      <c r="G171" s="30">
        <f t="shared" si="25"/>
        <v>0</v>
      </c>
      <c r="H171" s="30">
        <f t="shared" si="25"/>
        <v>0</v>
      </c>
      <c r="I171" s="30">
        <f t="shared" si="25"/>
        <v>0</v>
      </c>
      <c r="J171" s="31">
        <f>SUM(D171:I171)</f>
        <v>11512.47</v>
      </c>
      <c r="K171" s="8"/>
      <c r="L171" s="8"/>
    </row>
    <row r="172" spans="1:12" ht="15.75" thickTop="1">
      <c r="A172" s="8"/>
      <c r="B172" s="8"/>
      <c r="C172" s="8"/>
      <c r="D172" s="20"/>
      <c r="E172" s="20"/>
      <c r="F172" s="15"/>
      <c r="G172" s="15"/>
      <c r="H172" s="15"/>
      <c r="I172" s="15"/>
      <c r="J172" s="20"/>
      <c r="K172" s="8"/>
      <c r="L172" s="8"/>
    </row>
    <row r="173" spans="1:12">
      <c r="A173" s="8"/>
      <c r="B173" s="8"/>
      <c r="C173" s="8"/>
      <c r="D173" s="20"/>
      <c r="E173" s="20"/>
      <c r="F173" s="15"/>
      <c r="G173" s="15"/>
      <c r="H173" s="15"/>
      <c r="I173" s="15"/>
      <c r="J173" s="20"/>
      <c r="K173" s="8"/>
      <c r="L173" s="8"/>
    </row>
    <row r="174" spans="1:12" ht="15.75" thickBot="1">
      <c r="A174" s="8">
        <v>47</v>
      </c>
      <c r="B174" s="8" t="s">
        <v>41</v>
      </c>
      <c r="C174" s="8" t="s">
        <v>12</v>
      </c>
      <c r="D174" s="29">
        <f>10528.47+2400.6</f>
        <v>12929.07</v>
      </c>
      <c r="E174" s="29">
        <v>192.55</v>
      </c>
      <c r="F174" s="28">
        <v>0</v>
      </c>
      <c r="G174" s="28">
        <v>0</v>
      </c>
      <c r="H174" s="28">
        <v>0</v>
      </c>
      <c r="I174" s="28">
        <v>0</v>
      </c>
      <c r="J174" s="29">
        <f>SUM(D174:I174)</f>
        <v>13121.619999999999</v>
      </c>
      <c r="K174" s="8"/>
      <c r="L174" s="8"/>
    </row>
    <row r="175" spans="1:12">
      <c r="A175" s="8"/>
      <c r="B175" s="8"/>
      <c r="C175" s="8"/>
      <c r="D175" s="20"/>
      <c r="E175" s="20"/>
      <c r="F175" s="15"/>
      <c r="G175" s="15"/>
      <c r="H175" s="15"/>
      <c r="I175" s="15"/>
      <c r="J175" s="20"/>
      <c r="K175" s="8"/>
      <c r="L175" s="8"/>
    </row>
    <row r="176" spans="1:12" ht="15.75" thickBot="1">
      <c r="A176" s="8"/>
      <c r="B176" s="8"/>
      <c r="C176" s="8" t="s">
        <v>10</v>
      </c>
      <c r="D176" s="31">
        <f t="shared" ref="D176:I176" si="26">SUM(D174:D175)</f>
        <v>12929.07</v>
      </c>
      <c r="E176" s="31">
        <f t="shared" si="26"/>
        <v>192.55</v>
      </c>
      <c r="F176" s="30">
        <f t="shared" si="26"/>
        <v>0</v>
      </c>
      <c r="G176" s="30">
        <f t="shared" si="26"/>
        <v>0</v>
      </c>
      <c r="H176" s="30">
        <f t="shared" si="26"/>
        <v>0</v>
      </c>
      <c r="I176" s="30">
        <f t="shared" si="26"/>
        <v>0</v>
      </c>
      <c r="J176" s="31">
        <f>SUM(D176:I176)</f>
        <v>13121.619999999999</v>
      </c>
      <c r="K176" s="8"/>
      <c r="L176" s="8"/>
    </row>
    <row r="177" spans="1:12" ht="15.75" thickTop="1">
      <c r="A177" s="8"/>
      <c r="B177" s="8"/>
      <c r="C177" s="8"/>
      <c r="D177" s="20"/>
      <c r="E177" s="20"/>
      <c r="F177" s="15"/>
      <c r="G177" s="15"/>
      <c r="H177" s="15"/>
      <c r="I177" s="15"/>
      <c r="J177" s="20"/>
      <c r="K177" s="8"/>
      <c r="L177" s="8"/>
    </row>
    <row r="178" spans="1:12">
      <c r="A178" s="8"/>
      <c r="B178" s="8"/>
      <c r="C178" s="8"/>
      <c r="D178" s="20"/>
      <c r="E178" s="20"/>
      <c r="F178" s="15"/>
      <c r="G178" s="15"/>
      <c r="H178" s="15"/>
      <c r="I178" s="15"/>
      <c r="J178" s="20"/>
      <c r="K178" s="8"/>
      <c r="L178" s="8"/>
    </row>
    <row r="179" spans="1:12" ht="15.75" thickBot="1">
      <c r="A179" s="8">
        <v>48</v>
      </c>
      <c r="B179" s="8" t="s">
        <v>42</v>
      </c>
      <c r="C179" s="8" t="s">
        <v>12</v>
      </c>
      <c r="D179" s="29">
        <f>8989.75+2357.16</f>
        <v>11346.91</v>
      </c>
      <c r="E179" s="34">
        <v>0</v>
      </c>
      <c r="F179" s="28">
        <v>0</v>
      </c>
      <c r="G179" s="28">
        <v>0</v>
      </c>
      <c r="H179" s="28">
        <v>0</v>
      </c>
      <c r="I179" s="28">
        <v>0</v>
      </c>
      <c r="J179" s="29">
        <f>SUM(D179:I179)</f>
        <v>11346.91</v>
      </c>
      <c r="K179" s="8"/>
      <c r="L179" s="8"/>
    </row>
    <row r="180" spans="1:12">
      <c r="A180" s="8"/>
      <c r="B180" s="8"/>
      <c r="C180" s="8"/>
      <c r="D180" s="20"/>
      <c r="E180" s="35"/>
      <c r="F180" s="15"/>
      <c r="G180" s="15"/>
      <c r="H180" s="15"/>
      <c r="I180" s="15"/>
      <c r="J180" s="20"/>
      <c r="K180" s="8"/>
      <c r="L180" s="8"/>
    </row>
    <row r="181" spans="1:12" ht="15.75" thickBot="1">
      <c r="A181" s="8"/>
      <c r="B181" s="8"/>
      <c r="C181" s="8"/>
      <c r="D181" s="31">
        <f t="shared" ref="D181:I181" si="27">SUM(D179:D180)</f>
        <v>11346.91</v>
      </c>
      <c r="E181" s="44">
        <f t="shared" si="27"/>
        <v>0</v>
      </c>
      <c r="F181" s="30">
        <f t="shared" si="27"/>
        <v>0</v>
      </c>
      <c r="G181" s="30">
        <f t="shared" si="27"/>
        <v>0</v>
      </c>
      <c r="H181" s="30">
        <f t="shared" si="27"/>
        <v>0</v>
      </c>
      <c r="I181" s="30">
        <f t="shared" si="27"/>
        <v>0</v>
      </c>
      <c r="J181" s="31">
        <f>SUM(D181:I181)</f>
        <v>11346.91</v>
      </c>
      <c r="K181" s="8"/>
      <c r="L181" s="8"/>
    </row>
    <row r="182" spans="1:12" ht="15.75" thickTop="1">
      <c r="A182" s="8"/>
      <c r="B182" s="8"/>
      <c r="C182" s="8"/>
      <c r="D182" s="20"/>
      <c r="E182" s="20"/>
      <c r="F182" s="15"/>
      <c r="G182" s="15"/>
      <c r="H182" s="15"/>
      <c r="I182" s="15"/>
      <c r="J182" s="20"/>
      <c r="K182" s="8"/>
      <c r="L182" s="8"/>
    </row>
    <row r="183" spans="1:12">
      <c r="A183" s="8"/>
      <c r="B183" s="8"/>
      <c r="C183" s="8"/>
      <c r="D183" s="20"/>
      <c r="E183" s="20"/>
      <c r="F183" s="15"/>
      <c r="G183" s="15"/>
      <c r="H183" s="15"/>
      <c r="I183" s="15"/>
      <c r="J183" s="20"/>
      <c r="K183" s="8"/>
      <c r="L183" s="8"/>
    </row>
    <row r="184" spans="1:12" ht="15.75" thickBot="1">
      <c r="A184" s="8">
        <v>49</v>
      </c>
      <c r="B184" s="8" t="s">
        <v>43</v>
      </c>
      <c r="C184" s="8" t="s">
        <v>12</v>
      </c>
      <c r="D184" s="29">
        <f>30667.64+6180.48</f>
        <v>36848.119999999995</v>
      </c>
      <c r="E184" s="29">
        <v>219.15</v>
      </c>
      <c r="F184" s="28">
        <v>0</v>
      </c>
      <c r="G184" s="28">
        <v>0</v>
      </c>
      <c r="H184" s="28">
        <v>0</v>
      </c>
      <c r="I184" s="28">
        <v>0</v>
      </c>
      <c r="J184" s="29">
        <f>SUM(D184:I184)</f>
        <v>37067.269999999997</v>
      </c>
      <c r="K184" s="8"/>
      <c r="L184" s="8"/>
    </row>
    <row r="185" spans="1:12">
      <c r="A185" s="8"/>
      <c r="B185" s="8"/>
      <c r="C185" s="8"/>
      <c r="D185" s="20"/>
      <c r="E185" s="20"/>
      <c r="F185" s="15"/>
      <c r="G185" s="15"/>
      <c r="H185" s="15"/>
      <c r="I185" s="15"/>
      <c r="J185" s="20"/>
      <c r="K185" s="8"/>
      <c r="L185" s="8"/>
    </row>
    <row r="186" spans="1:12" ht="15.75" thickBot="1">
      <c r="A186" s="8"/>
      <c r="B186" s="8"/>
      <c r="C186" s="8" t="s">
        <v>10</v>
      </c>
      <c r="D186" s="31">
        <f t="shared" ref="D186:I186" si="28">SUM(D184:D185)</f>
        <v>36848.119999999995</v>
      </c>
      <c r="E186" s="31">
        <f t="shared" si="28"/>
        <v>219.15</v>
      </c>
      <c r="F186" s="30">
        <f t="shared" si="28"/>
        <v>0</v>
      </c>
      <c r="G186" s="30">
        <f t="shared" si="28"/>
        <v>0</v>
      </c>
      <c r="H186" s="30">
        <f t="shared" si="28"/>
        <v>0</v>
      </c>
      <c r="I186" s="30">
        <f t="shared" si="28"/>
        <v>0</v>
      </c>
      <c r="J186" s="31">
        <f>SUM(D186:I186)</f>
        <v>37067.269999999997</v>
      </c>
      <c r="K186" s="8"/>
      <c r="L186" s="8"/>
    </row>
    <row r="187" spans="1:12" ht="15.75" thickTop="1">
      <c r="A187" s="8"/>
      <c r="B187" s="8"/>
      <c r="C187" s="8"/>
      <c r="D187" s="20"/>
      <c r="E187" s="20"/>
      <c r="F187" s="15"/>
      <c r="G187" s="15"/>
      <c r="H187" s="15"/>
      <c r="I187" s="15"/>
      <c r="J187" s="20"/>
      <c r="K187" s="8"/>
      <c r="L187" s="8"/>
    </row>
    <row r="188" spans="1:12">
      <c r="A188" s="8"/>
      <c r="B188" s="8"/>
      <c r="C188" s="8"/>
      <c r="D188" s="20"/>
      <c r="E188" s="20"/>
      <c r="F188" s="15"/>
      <c r="G188" s="15"/>
      <c r="H188" s="15"/>
      <c r="I188" s="15"/>
      <c r="J188" s="20"/>
      <c r="K188" s="8"/>
      <c r="L188" s="8"/>
    </row>
    <row r="189" spans="1:12">
      <c r="A189" s="8">
        <v>50</v>
      </c>
      <c r="B189" s="8" t="s">
        <v>44</v>
      </c>
      <c r="C189" s="8" t="s">
        <v>12</v>
      </c>
      <c r="D189" s="20">
        <f>4215.62+1176.94</f>
        <v>5392.5599999999995</v>
      </c>
      <c r="E189" s="20">
        <v>62.58</v>
      </c>
      <c r="F189" s="15">
        <v>64.14</v>
      </c>
      <c r="G189" s="15">
        <v>0</v>
      </c>
      <c r="H189" s="15">
        <v>0</v>
      </c>
      <c r="I189" s="15">
        <v>0</v>
      </c>
      <c r="J189" s="20">
        <f>SUM(D189:I189)</f>
        <v>5519.28</v>
      </c>
      <c r="K189" s="8"/>
      <c r="L189" s="8"/>
    </row>
    <row r="190" spans="1:12" ht="15.75" thickBot="1">
      <c r="A190" s="8"/>
      <c r="B190" s="8"/>
      <c r="C190" s="8" t="s">
        <v>13</v>
      </c>
      <c r="D190" s="29">
        <f>70.07+19.6</f>
        <v>89.669999999999987</v>
      </c>
      <c r="E190" s="29">
        <v>1.0900000000000001</v>
      </c>
      <c r="F190" s="28">
        <v>1.26</v>
      </c>
      <c r="G190" s="28">
        <v>0</v>
      </c>
      <c r="H190" s="28">
        <v>0</v>
      </c>
      <c r="I190" s="28">
        <v>0</v>
      </c>
      <c r="J190" s="29">
        <f>SUM(D190:I190)</f>
        <v>92.02</v>
      </c>
      <c r="K190" s="8"/>
      <c r="L190" s="8"/>
    </row>
    <row r="191" spans="1:12">
      <c r="A191" s="8"/>
      <c r="B191" s="8"/>
      <c r="C191" s="8"/>
      <c r="D191" s="20"/>
      <c r="E191" s="20"/>
      <c r="F191" s="15"/>
      <c r="G191" s="15"/>
      <c r="H191" s="15"/>
      <c r="I191" s="15"/>
      <c r="J191" s="20"/>
      <c r="K191" s="8"/>
      <c r="L191" s="8"/>
    </row>
    <row r="192" spans="1:12" ht="15.75" thickBot="1">
      <c r="A192" s="8"/>
      <c r="B192" s="8"/>
      <c r="C192" s="8" t="s">
        <v>10</v>
      </c>
      <c r="D192" s="31">
        <f t="shared" ref="D192:I192" si="29">SUM(D189:D190)</f>
        <v>5482.23</v>
      </c>
      <c r="E192" s="31">
        <f t="shared" si="29"/>
        <v>63.67</v>
      </c>
      <c r="F192" s="30">
        <f t="shared" si="29"/>
        <v>65.400000000000006</v>
      </c>
      <c r="G192" s="30">
        <f t="shared" si="29"/>
        <v>0</v>
      </c>
      <c r="H192" s="30">
        <f t="shared" si="29"/>
        <v>0</v>
      </c>
      <c r="I192" s="30">
        <f t="shared" si="29"/>
        <v>0</v>
      </c>
      <c r="J192" s="31">
        <f>SUM(D192:I192)</f>
        <v>5611.2999999999993</v>
      </c>
      <c r="K192" s="8"/>
      <c r="L192" s="8"/>
    </row>
    <row r="193" spans="1:12" ht="15.75" thickTop="1">
      <c r="A193" s="8"/>
      <c r="B193" s="8"/>
      <c r="C193" s="8"/>
      <c r="D193" s="20"/>
      <c r="E193" s="20"/>
      <c r="F193" s="15"/>
      <c r="G193" s="15"/>
      <c r="H193" s="15"/>
      <c r="I193" s="15"/>
      <c r="J193" s="20"/>
      <c r="K193" s="8"/>
      <c r="L193" s="8"/>
    </row>
    <row r="194" spans="1:12">
      <c r="A194" s="8"/>
      <c r="B194" s="8"/>
      <c r="C194" s="8"/>
      <c r="D194" s="20"/>
      <c r="E194" s="20"/>
      <c r="F194" s="15"/>
      <c r="G194" s="15"/>
      <c r="H194" s="15"/>
      <c r="I194" s="15"/>
      <c r="J194" s="20"/>
      <c r="K194" s="8"/>
      <c r="L194" s="8"/>
    </row>
    <row r="195" spans="1:12">
      <c r="A195" s="8">
        <v>51</v>
      </c>
      <c r="B195" s="8" t="s">
        <v>45</v>
      </c>
      <c r="C195" s="8" t="s">
        <v>12</v>
      </c>
      <c r="D195" s="20">
        <f>6717.72+2428.82</f>
        <v>9146.5400000000009</v>
      </c>
      <c r="E195" s="20">
        <v>0</v>
      </c>
      <c r="F195" s="15">
        <v>0</v>
      </c>
      <c r="G195" s="15">
        <v>0</v>
      </c>
      <c r="H195" s="15">
        <v>0</v>
      </c>
      <c r="I195" s="15">
        <v>0</v>
      </c>
      <c r="J195" s="20">
        <f>SUM(D195:I195)</f>
        <v>9146.5400000000009</v>
      </c>
      <c r="K195" s="8"/>
      <c r="L195" s="8"/>
    </row>
    <row r="196" spans="1:12" hidden="1">
      <c r="A196" s="8"/>
      <c r="B196" s="8"/>
      <c r="C196" s="8" t="s">
        <v>13</v>
      </c>
      <c r="D196" s="20"/>
      <c r="E196" s="20"/>
      <c r="F196" s="15"/>
      <c r="G196" s="15"/>
      <c r="H196" s="15"/>
      <c r="I196" s="15"/>
      <c r="J196" s="20">
        <f>SUM(D196:I196)</f>
        <v>0</v>
      </c>
      <c r="K196" s="8"/>
      <c r="L196" s="8"/>
    </row>
    <row r="197" spans="1:12" ht="15.75" thickBot="1">
      <c r="A197" s="8"/>
      <c r="B197" s="8"/>
      <c r="C197" s="8" t="s">
        <v>46</v>
      </c>
      <c r="D197" s="29">
        <f>133.94+48.43</f>
        <v>182.37</v>
      </c>
      <c r="E197" s="29">
        <v>0</v>
      </c>
      <c r="F197" s="28">
        <v>0</v>
      </c>
      <c r="G197" s="28">
        <v>0</v>
      </c>
      <c r="H197" s="28">
        <v>0</v>
      </c>
      <c r="I197" s="28">
        <v>0</v>
      </c>
      <c r="J197" s="29">
        <f>SUM(D197:I197)</f>
        <v>182.37</v>
      </c>
      <c r="K197" s="8"/>
      <c r="L197" s="8"/>
    </row>
    <row r="198" spans="1:12">
      <c r="A198" s="8"/>
      <c r="B198" s="8"/>
      <c r="C198" s="8"/>
      <c r="D198" s="20"/>
      <c r="E198" s="20"/>
      <c r="F198" s="15"/>
      <c r="G198" s="15"/>
      <c r="H198" s="15"/>
      <c r="I198" s="15"/>
      <c r="J198" s="20"/>
      <c r="K198" s="8"/>
      <c r="L198" s="8"/>
    </row>
    <row r="199" spans="1:12" ht="15.75" thickBot="1">
      <c r="A199" s="8"/>
      <c r="B199" s="8"/>
      <c r="C199" s="8" t="s">
        <v>10</v>
      </c>
      <c r="D199" s="31">
        <f t="shared" ref="D199:I199" si="30">SUM(D195:D197)</f>
        <v>9328.9100000000017</v>
      </c>
      <c r="E199" s="31">
        <f t="shared" si="30"/>
        <v>0</v>
      </c>
      <c r="F199" s="30">
        <f t="shared" si="30"/>
        <v>0</v>
      </c>
      <c r="G199" s="30">
        <f t="shared" si="30"/>
        <v>0</v>
      </c>
      <c r="H199" s="30">
        <f t="shared" si="30"/>
        <v>0</v>
      </c>
      <c r="I199" s="30">
        <f t="shared" si="30"/>
        <v>0</v>
      </c>
      <c r="J199" s="31">
        <f>SUM(D199:I199)</f>
        <v>9328.9100000000017</v>
      </c>
      <c r="K199" s="8"/>
      <c r="L199" s="8"/>
    </row>
    <row r="200" spans="1:12" ht="15.75" thickTop="1">
      <c r="A200" s="8"/>
      <c r="B200" s="8"/>
      <c r="C200" s="8"/>
      <c r="D200" s="20"/>
      <c r="E200" s="20"/>
      <c r="F200" s="15"/>
      <c r="G200" s="15"/>
      <c r="H200" s="15"/>
      <c r="I200" s="15"/>
      <c r="J200" s="20"/>
      <c r="K200" s="8"/>
      <c r="L200" s="8"/>
    </row>
    <row r="201" spans="1:12">
      <c r="A201" s="8"/>
      <c r="B201" s="8"/>
      <c r="C201" s="8"/>
      <c r="D201" s="20"/>
      <c r="E201" s="20"/>
      <c r="F201" s="15"/>
      <c r="G201" s="15"/>
      <c r="H201" s="15"/>
      <c r="I201" s="15"/>
      <c r="J201" s="20"/>
      <c r="K201" s="8"/>
      <c r="L201" s="8"/>
    </row>
    <row r="202" spans="1:12">
      <c r="A202" s="8">
        <v>52</v>
      </c>
      <c r="B202" s="8" t="s">
        <v>47</v>
      </c>
      <c r="C202" s="8" t="s">
        <v>12</v>
      </c>
      <c r="D202" s="25">
        <f>8185.36+2288.5</f>
        <v>10473.86</v>
      </c>
      <c r="E202" s="45">
        <v>0.56999999999999995</v>
      </c>
      <c r="F202" s="24">
        <v>0.65</v>
      </c>
      <c r="G202" s="24">
        <v>0</v>
      </c>
      <c r="H202" s="24">
        <v>0</v>
      </c>
      <c r="I202" s="24">
        <v>0</v>
      </c>
      <c r="J202" s="25">
        <f>SUM(D202:I202)</f>
        <v>10475.08</v>
      </c>
      <c r="K202" s="8"/>
      <c r="L202" s="8"/>
    </row>
    <row r="203" spans="1:12" ht="15.75" hidden="1" thickBot="1">
      <c r="A203" s="8"/>
      <c r="B203" s="8"/>
      <c r="C203" s="8" t="s">
        <v>13</v>
      </c>
      <c r="D203" s="29"/>
      <c r="E203" s="34"/>
      <c r="F203" s="28"/>
      <c r="G203" s="28"/>
      <c r="H203" s="28"/>
      <c r="I203" s="28"/>
      <c r="J203" s="34">
        <v>0</v>
      </c>
      <c r="K203" s="8"/>
      <c r="L203" s="8"/>
    </row>
    <row r="204" spans="1:12">
      <c r="A204" s="8"/>
      <c r="B204" s="8"/>
      <c r="C204" s="8"/>
      <c r="D204" s="20"/>
      <c r="E204" s="35"/>
      <c r="F204" s="15"/>
      <c r="G204" s="15"/>
      <c r="H204" s="15"/>
      <c r="I204" s="15"/>
      <c r="J204" s="20"/>
      <c r="K204" s="8"/>
      <c r="L204" s="8"/>
    </row>
    <row r="205" spans="1:12" ht="15.75" thickBot="1">
      <c r="A205" s="8"/>
      <c r="B205" s="8"/>
      <c r="C205" s="8" t="s">
        <v>10</v>
      </c>
      <c r="D205" s="31">
        <f t="shared" ref="D205:I205" si="31">SUM(D202:D203)</f>
        <v>10473.86</v>
      </c>
      <c r="E205" s="44">
        <f t="shared" si="31"/>
        <v>0.56999999999999995</v>
      </c>
      <c r="F205" s="30">
        <f t="shared" si="31"/>
        <v>0.65</v>
      </c>
      <c r="G205" s="30">
        <f t="shared" si="31"/>
        <v>0</v>
      </c>
      <c r="H205" s="30">
        <f t="shared" si="31"/>
        <v>0</v>
      </c>
      <c r="I205" s="30">
        <f t="shared" si="31"/>
        <v>0</v>
      </c>
      <c r="J205" s="31">
        <f>SUM(D205:I205)</f>
        <v>10475.08</v>
      </c>
      <c r="K205" s="8"/>
      <c r="L205" s="8"/>
    </row>
    <row r="206" spans="1:12" ht="15.75" thickTop="1">
      <c r="A206" s="8"/>
      <c r="B206" s="8"/>
      <c r="C206" s="8"/>
      <c r="D206" s="20"/>
      <c r="E206" s="20"/>
      <c r="F206" s="15"/>
      <c r="G206" s="15"/>
      <c r="H206" s="15"/>
      <c r="I206" s="15"/>
      <c r="J206" s="20"/>
      <c r="K206" s="8"/>
      <c r="L206" s="8"/>
    </row>
    <row r="207" spans="1:12">
      <c r="A207" s="8"/>
      <c r="B207" s="8"/>
      <c r="C207" s="8"/>
      <c r="D207" s="20"/>
      <c r="E207" s="20"/>
      <c r="F207" s="15"/>
      <c r="G207" s="15"/>
      <c r="H207" s="15"/>
      <c r="I207" s="15"/>
      <c r="J207" s="20"/>
      <c r="K207" s="8"/>
      <c r="L207" s="8"/>
    </row>
    <row r="208" spans="1:12">
      <c r="A208" s="8">
        <v>53</v>
      </c>
      <c r="B208" s="8" t="s">
        <v>48</v>
      </c>
      <c r="C208" s="8" t="s">
        <v>12</v>
      </c>
      <c r="D208" s="20">
        <f>20157.37+4014.2</f>
        <v>24171.57</v>
      </c>
      <c r="E208" s="20">
        <v>279.69</v>
      </c>
      <c r="F208" s="15">
        <v>0</v>
      </c>
      <c r="G208" s="15">
        <v>0</v>
      </c>
      <c r="H208" s="15">
        <v>0</v>
      </c>
      <c r="I208" s="15">
        <v>0</v>
      </c>
      <c r="J208" s="20">
        <f>SUM(D208:I208)</f>
        <v>24451.26</v>
      </c>
      <c r="K208" s="8"/>
      <c r="L208" s="8"/>
    </row>
    <row r="209" spans="1:12">
      <c r="A209" s="8"/>
      <c r="B209" s="8"/>
      <c r="C209" s="8" t="s">
        <v>35</v>
      </c>
      <c r="D209" s="20">
        <f>1119.81+223.01</f>
        <v>1342.82</v>
      </c>
      <c r="E209" s="20">
        <v>15.55</v>
      </c>
      <c r="F209" s="15">
        <v>0</v>
      </c>
      <c r="G209" s="15">
        <v>0</v>
      </c>
      <c r="H209" s="15">
        <v>0</v>
      </c>
      <c r="I209" s="15">
        <v>0</v>
      </c>
      <c r="J209" s="20">
        <f>SUM(D209:I209)</f>
        <v>1358.37</v>
      </c>
      <c r="K209" s="8"/>
      <c r="L209" s="8"/>
    </row>
    <row r="210" spans="1:12">
      <c r="A210" s="8"/>
      <c r="B210" s="8"/>
      <c r="C210" s="8" t="s">
        <v>97</v>
      </c>
      <c r="D210" s="20">
        <f>302.36+60.21</f>
        <v>362.57</v>
      </c>
      <c r="E210" s="20">
        <v>6.11</v>
      </c>
      <c r="F210" s="15">
        <v>0</v>
      </c>
      <c r="G210" s="15">
        <v>0</v>
      </c>
      <c r="H210" s="15">
        <v>0</v>
      </c>
      <c r="I210" s="15">
        <v>0</v>
      </c>
      <c r="J210" s="20">
        <f>SUM(D210:I210)</f>
        <v>368.68</v>
      </c>
      <c r="K210" s="8"/>
      <c r="L210" s="8"/>
    </row>
    <row r="211" spans="1:12" ht="15.75" thickBot="1">
      <c r="A211" s="8"/>
      <c r="B211" s="8"/>
      <c r="C211" s="8" t="s">
        <v>98</v>
      </c>
      <c r="D211" s="29">
        <f>3359.44+669.03</f>
        <v>4028.4700000000003</v>
      </c>
      <c r="E211" s="29">
        <v>46.53</v>
      </c>
      <c r="F211" s="28">
        <v>0</v>
      </c>
      <c r="G211" s="28">
        <v>0</v>
      </c>
      <c r="H211" s="28">
        <v>0</v>
      </c>
      <c r="I211" s="28">
        <v>0</v>
      </c>
      <c r="J211" s="29">
        <f>SUM(D211:I211)</f>
        <v>4075.0000000000005</v>
      </c>
      <c r="K211" s="8"/>
      <c r="L211" s="8"/>
    </row>
    <row r="212" spans="1:12">
      <c r="A212" s="8"/>
      <c r="B212" s="8"/>
      <c r="C212" s="8"/>
      <c r="D212" s="20"/>
      <c r="E212" s="20"/>
      <c r="F212" s="15"/>
      <c r="G212" s="15"/>
      <c r="H212" s="15"/>
      <c r="I212" s="15"/>
      <c r="J212" s="20"/>
      <c r="K212" s="8"/>
      <c r="L212" s="8"/>
    </row>
    <row r="213" spans="1:12" ht="15.75" thickBot="1">
      <c r="A213" s="8"/>
      <c r="B213" s="8"/>
      <c r="C213" s="8" t="s">
        <v>10</v>
      </c>
      <c r="D213" s="31">
        <f>SUM(D208:D212)</f>
        <v>29905.43</v>
      </c>
      <c r="E213" s="31">
        <f t="shared" ref="E213:J213" si="32">SUM(E208:E212)</f>
        <v>347.88</v>
      </c>
      <c r="F213" s="30">
        <f t="shared" si="32"/>
        <v>0</v>
      </c>
      <c r="G213" s="30">
        <f t="shared" si="32"/>
        <v>0</v>
      </c>
      <c r="H213" s="30">
        <f t="shared" si="32"/>
        <v>0</v>
      </c>
      <c r="I213" s="30">
        <f t="shared" si="32"/>
        <v>0</v>
      </c>
      <c r="J213" s="30">
        <f t="shared" si="32"/>
        <v>30253.309999999998</v>
      </c>
      <c r="K213" s="8"/>
      <c r="L213" s="8"/>
    </row>
    <row r="214" spans="1:12" ht="15.75" thickTop="1">
      <c r="A214" s="8"/>
      <c r="B214" s="8"/>
      <c r="C214" s="8"/>
      <c r="D214" s="20"/>
      <c r="E214" s="20"/>
      <c r="F214" s="15"/>
      <c r="G214" s="15"/>
      <c r="H214" s="15"/>
      <c r="I214" s="15"/>
      <c r="J214" s="20"/>
      <c r="K214" s="8"/>
      <c r="L214" s="8"/>
    </row>
    <row r="215" spans="1:12">
      <c r="A215" s="8"/>
      <c r="B215" s="8"/>
      <c r="C215" s="8"/>
      <c r="D215" s="20"/>
      <c r="E215" s="20"/>
      <c r="F215" s="15"/>
      <c r="G215" s="15"/>
      <c r="H215" s="15"/>
      <c r="I215" s="15"/>
      <c r="J215" s="20"/>
      <c r="K215" s="8"/>
      <c r="L215" s="8"/>
    </row>
    <row r="216" spans="1:12">
      <c r="A216" s="8">
        <v>54</v>
      </c>
      <c r="B216" s="8" t="s">
        <v>49</v>
      </c>
      <c r="C216" s="8" t="s">
        <v>12</v>
      </c>
      <c r="D216" s="25">
        <f>6539.2+1559.94</f>
        <v>8099.1399999999994</v>
      </c>
      <c r="E216" s="45">
        <v>0</v>
      </c>
      <c r="F216" s="24">
        <v>0</v>
      </c>
      <c r="G216" s="24">
        <v>0</v>
      </c>
      <c r="H216" s="24">
        <v>0</v>
      </c>
      <c r="I216" s="24">
        <v>0</v>
      </c>
      <c r="J216" s="25">
        <f>SUM(D216:I216)</f>
        <v>8099.1399999999994</v>
      </c>
      <c r="K216" s="8"/>
      <c r="L216" s="8"/>
    </row>
    <row r="217" spans="1:12" ht="15.75" hidden="1" thickBot="1">
      <c r="A217" s="8"/>
      <c r="B217" s="8"/>
      <c r="C217" s="8" t="s">
        <v>104</v>
      </c>
      <c r="D217" s="29"/>
      <c r="E217" s="34"/>
      <c r="F217" s="28"/>
      <c r="G217" s="28"/>
      <c r="H217" s="28"/>
      <c r="I217" s="28"/>
      <c r="J217" s="29">
        <f>SUM(D217:I217)</f>
        <v>0</v>
      </c>
      <c r="K217" s="8"/>
      <c r="L217" s="8"/>
    </row>
    <row r="218" spans="1:12">
      <c r="A218" s="8"/>
      <c r="B218" s="8"/>
      <c r="C218" s="8"/>
      <c r="D218" s="20"/>
      <c r="E218" s="35"/>
      <c r="F218" s="15"/>
      <c r="G218" s="15"/>
      <c r="H218" s="15"/>
      <c r="I218" s="15"/>
      <c r="J218" s="20"/>
      <c r="K218" s="8"/>
      <c r="L218" s="8"/>
    </row>
    <row r="219" spans="1:12" ht="15.75" thickBot="1">
      <c r="A219" s="8"/>
      <c r="B219" s="8"/>
      <c r="C219" s="8" t="s">
        <v>10</v>
      </c>
      <c r="D219" s="31">
        <f t="shared" ref="D219:I219" si="33">SUM(D216:D218)</f>
        <v>8099.1399999999994</v>
      </c>
      <c r="E219" s="44">
        <f t="shared" si="33"/>
        <v>0</v>
      </c>
      <c r="F219" s="30">
        <f t="shared" si="33"/>
        <v>0</v>
      </c>
      <c r="G219" s="30">
        <f t="shared" si="33"/>
        <v>0</v>
      </c>
      <c r="H219" s="30">
        <f t="shared" si="33"/>
        <v>0</v>
      </c>
      <c r="I219" s="30">
        <f t="shared" si="33"/>
        <v>0</v>
      </c>
      <c r="J219" s="31">
        <f>SUM(D219:I219)</f>
        <v>8099.1399999999994</v>
      </c>
      <c r="K219" s="8"/>
      <c r="L219" s="8"/>
    </row>
    <row r="220" spans="1:12" ht="15.75" thickTop="1">
      <c r="A220" s="8"/>
      <c r="B220" s="8"/>
      <c r="C220" s="8"/>
      <c r="D220" s="20"/>
      <c r="E220" s="20"/>
      <c r="F220" s="15"/>
      <c r="G220" s="15"/>
      <c r="H220" s="15"/>
      <c r="I220" s="15"/>
      <c r="J220" s="20"/>
      <c r="K220" s="8"/>
      <c r="L220" s="8"/>
    </row>
    <row r="221" spans="1:12">
      <c r="A221" s="8"/>
      <c r="B221" s="8"/>
      <c r="C221" s="8"/>
      <c r="D221" s="20"/>
      <c r="E221" s="20"/>
      <c r="F221" s="15"/>
      <c r="G221" s="15"/>
      <c r="H221" s="15"/>
      <c r="I221" s="15"/>
      <c r="J221" s="20"/>
      <c r="K221" s="8"/>
      <c r="L221" s="8"/>
    </row>
    <row r="222" spans="1:12">
      <c r="A222" s="8">
        <v>55</v>
      </c>
      <c r="B222" s="8" t="s">
        <v>50</v>
      </c>
      <c r="C222" s="8" t="s">
        <v>12</v>
      </c>
      <c r="D222" s="20">
        <f>19449.37+4308.93</f>
        <v>23758.3</v>
      </c>
      <c r="E222" s="20">
        <v>268.83</v>
      </c>
      <c r="F222" s="15">
        <v>154.62</v>
      </c>
      <c r="G222" s="15">
        <v>0</v>
      </c>
      <c r="H222" s="15">
        <v>0</v>
      </c>
      <c r="I222" s="15">
        <v>0</v>
      </c>
      <c r="J222" s="20">
        <f>SUM(D222:I222)</f>
        <v>24181.75</v>
      </c>
      <c r="K222" s="8"/>
      <c r="L222" s="8"/>
    </row>
    <row r="223" spans="1:12" ht="15.75" thickBot="1">
      <c r="A223" s="8"/>
      <c r="B223" s="8"/>
      <c r="C223" s="8" t="s">
        <v>13</v>
      </c>
      <c r="D223" s="29">
        <f>572.35+126.87</f>
        <v>699.22</v>
      </c>
      <c r="E223" s="29">
        <v>6.06</v>
      </c>
      <c r="F223" s="28">
        <v>3.03</v>
      </c>
      <c r="G223" s="28">
        <v>0</v>
      </c>
      <c r="H223" s="28">
        <v>0</v>
      </c>
      <c r="I223" s="28">
        <v>0</v>
      </c>
      <c r="J223" s="29">
        <f>SUM(D223:I223)</f>
        <v>708.31</v>
      </c>
      <c r="K223" s="8"/>
      <c r="L223" s="8"/>
    </row>
    <row r="224" spans="1:12">
      <c r="A224" s="8"/>
      <c r="B224" s="8"/>
      <c r="C224" s="8"/>
      <c r="D224" s="20"/>
      <c r="E224" s="20"/>
      <c r="F224" s="15"/>
      <c r="G224" s="15"/>
      <c r="H224" s="15"/>
      <c r="I224" s="15"/>
      <c r="J224" s="20"/>
      <c r="K224" s="8"/>
      <c r="L224" s="8"/>
    </row>
    <row r="225" spans="1:12" ht="15.75" thickBot="1">
      <c r="A225" s="8"/>
      <c r="B225" s="8"/>
      <c r="C225" s="8" t="s">
        <v>10</v>
      </c>
      <c r="D225" s="31">
        <f t="shared" ref="D225:I225" si="34">SUM(D222:D223)</f>
        <v>24457.52</v>
      </c>
      <c r="E225" s="31">
        <f t="shared" si="34"/>
        <v>274.89</v>
      </c>
      <c r="F225" s="30">
        <f t="shared" si="34"/>
        <v>157.65</v>
      </c>
      <c r="G225" s="30">
        <f t="shared" si="34"/>
        <v>0</v>
      </c>
      <c r="H225" s="30">
        <f t="shared" si="34"/>
        <v>0</v>
      </c>
      <c r="I225" s="30">
        <f t="shared" si="34"/>
        <v>0</v>
      </c>
      <c r="J225" s="31">
        <f>SUM(D225:I225)</f>
        <v>24890.06</v>
      </c>
      <c r="K225" s="8"/>
      <c r="L225" s="8"/>
    </row>
    <row r="226" spans="1:12" ht="15.75" thickTop="1">
      <c r="A226" s="8"/>
      <c r="B226" s="8"/>
      <c r="C226" s="8"/>
      <c r="D226" s="20"/>
      <c r="E226" s="20"/>
      <c r="F226" s="15"/>
      <c r="G226" s="15"/>
      <c r="H226" s="15"/>
      <c r="I226" s="15"/>
      <c r="J226" s="20"/>
      <c r="K226" s="8"/>
      <c r="L226" s="8"/>
    </row>
    <row r="227" spans="1:12">
      <c r="A227" s="8"/>
      <c r="B227" s="8"/>
      <c r="C227" s="8"/>
      <c r="D227" s="20"/>
      <c r="E227" s="20"/>
      <c r="F227" s="15"/>
      <c r="G227" s="15"/>
      <c r="H227" s="15"/>
      <c r="I227" s="15"/>
      <c r="J227" s="20"/>
      <c r="K227" s="8"/>
      <c r="L227" s="8"/>
    </row>
    <row r="228" spans="1:12">
      <c r="A228" s="8">
        <v>56</v>
      </c>
      <c r="B228" s="8" t="s">
        <v>51</v>
      </c>
      <c r="C228" s="8" t="s">
        <v>12</v>
      </c>
      <c r="D228" s="20">
        <f>8682.32+1704.43</f>
        <v>10386.75</v>
      </c>
      <c r="E228" s="35">
        <v>89.02</v>
      </c>
      <c r="F228" s="15">
        <v>0</v>
      </c>
      <c r="G228" s="15">
        <v>0</v>
      </c>
      <c r="H228" s="15">
        <v>0</v>
      </c>
      <c r="I228" s="15">
        <v>0</v>
      </c>
      <c r="J228" s="20">
        <f>SUM(D228:I228)</f>
        <v>10475.77</v>
      </c>
      <c r="K228" s="8"/>
      <c r="L228" s="8"/>
    </row>
    <row r="229" spans="1:12" ht="15.75" thickBot="1">
      <c r="A229" s="8"/>
      <c r="B229" s="8"/>
      <c r="C229" s="8" t="s">
        <v>13</v>
      </c>
      <c r="D229" s="29">
        <f>132.98+26.1</f>
        <v>159.07999999999998</v>
      </c>
      <c r="E229" s="34">
        <v>1.37</v>
      </c>
      <c r="F229" s="28">
        <v>0</v>
      </c>
      <c r="G229" s="28">
        <v>0</v>
      </c>
      <c r="H229" s="28">
        <v>0</v>
      </c>
      <c r="I229" s="28">
        <v>0</v>
      </c>
      <c r="J229" s="29">
        <f>SUM(D229:I229)</f>
        <v>160.44999999999999</v>
      </c>
      <c r="K229" s="8"/>
      <c r="L229" s="8"/>
    </row>
    <row r="230" spans="1:12">
      <c r="A230" s="8"/>
      <c r="B230" s="8"/>
      <c r="C230" s="8"/>
      <c r="D230" s="20"/>
      <c r="E230" s="35"/>
      <c r="F230" s="15"/>
      <c r="G230" s="15"/>
      <c r="H230" s="15"/>
      <c r="I230" s="15"/>
      <c r="J230" s="20"/>
      <c r="K230" s="8"/>
      <c r="L230" s="8"/>
    </row>
    <row r="231" spans="1:12" ht="15.75" thickBot="1">
      <c r="A231" s="8"/>
      <c r="B231" s="8"/>
      <c r="C231" s="8" t="s">
        <v>10</v>
      </c>
      <c r="D231" s="31">
        <f t="shared" ref="D231:I231" si="35">SUM(D228:D229)</f>
        <v>10545.83</v>
      </c>
      <c r="E231" s="44">
        <f t="shared" si="35"/>
        <v>90.39</v>
      </c>
      <c r="F231" s="30">
        <f t="shared" si="35"/>
        <v>0</v>
      </c>
      <c r="G231" s="30">
        <f t="shared" si="35"/>
        <v>0</v>
      </c>
      <c r="H231" s="30">
        <f t="shared" si="35"/>
        <v>0</v>
      </c>
      <c r="I231" s="30">
        <f t="shared" si="35"/>
        <v>0</v>
      </c>
      <c r="J231" s="31">
        <f>SUM(D231:I231)</f>
        <v>10636.22</v>
      </c>
      <c r="K231" s="8"/>
      <c r="L231" s="8"/>
    </row>
    <row r="232" spans="1:12" ht="15.75" thickTop="1">
      <c r="A232" s="8"/>
      <c r="B232" s="8"/>
      <c r="C232" s="8"/>
      <c r="D232" s="20"/>
      <c r="E232" s="20"/>
      <c r="F232" s="15"/>
      <c r="G232" s="15"/>
      <c r="H232" s="15"/>
      <c r="I232" s="15"/>
      <c r="J232" s="20"/>
      <c r="K232" s="8"/>
      <c r="L232" s="8"/>
    </row>
    <row r="233" spans="1:12">
      <c r="A233" s="8"/>
      <c r="B233" s="8"/>
      <c r="C233" s="8"/>
      <c r="D233" s="20"/>
      <c r="E233" s="20"/>
      <c r="F233" s="15"/>
      <c r="G233" s="15"/>
      <c r="H233" s="15"/>
      <c r="I233" s="15"/>
      <c r="J233" s="20"/>
      <c r="K233" s="8"/>
      <c r="L233" s="8"/>
    </row>
    <row r="234" spans="1:12">
      <c r="A234" s="8">
        <v>57</v>
      </c>
      <c r="B234" s="8" t="s">
        <v>52</v>
      </c>
      <c r="C234" s="8" t="s">
        <v>12</v>
      </c>
      <c r="D234" s="20">
        <f>26045.8+5424.48</f>
        <v>31470.28</v>
      </c>
      <c r="E234" s="20">
        <v>724.31</v>
      </c>
      <c r="F234" s="15">
        <v>363.83</v>
      </c>
      <c r="G234" s="15">
        <v>0</v>
      </c>
      <c r="H234" s="15">
        <v>0</v>
      </c>
      <c r="I234" s="15">
        <v>0</v>
      </c>
      <c r="J234" s="20">
        <f>SUM(D234:I234)</f>
        <v>32558.420000000002</v>
      </c>
      <c r="K234" s="8"/>
      <c r="L234" s="8"/>
    </row>
    <row r="235" spans="1:12">
      <c r="A235" s="8"/>
      <c r="B235" s="8"/>
      <c r="C235" s="38" t="s">
        <v>13</v>
      </c>
      <c r="D235" s="20">
        <f>766.94+159.72</f>
        <v>926.66000000000008</v>
      </c>
      <c r="E235" s="20">
        <v>16.350000000000001</v>
      </c>
      <c r="F235" s="15">
        <v>7.3</v>
      </c>
      <c r="G235" s="15">
        <v>0</v>
      </c>
      <c r="H235" s="15">
        <v>0</v>
      </c>
      <c r="I235" s="15">
        <v>0</v>
      </c>
      <c r="J235" s="20">
        <f t="shared" ref="J235:J236" si="36">SUM(D235:I235)</f>
        <v>950.31000000000006</v>
      </c>
      <c r="K235" s="8"/>
      <c r="L235" s="8"/>
    </row>
    <row r="236" spans="1:12">
      <c r="A236" s="8"/>
      <c r="B236" s="8"/>
      <c r="C236" s="38" t="s">
        <v>112</v>
      </c>
      <c r="D236" s="20">
        <f>1157.42+241.09</f>
        <v>1398.51</v>
      </c>
      <c r="E236" s="35">
        <v>33.56</v>
      </c>
      <c r="F236" s="15">
        <v>16.86</v>
      </c>
      <c r="G236" s="15">
        <v>0</v>
      </c>
      <c r="H236" s="15">
        <v>0</v>
      </c>
      <c r="I236" s="15">
        <v>0</v>
      </c>
      <c r="J236" s="20">
        <f t="shared" si="36"/>
        <v>1448.9299999999998</v>
      </c>
      <c r="K236" s="8"/>
      <c r="L236" s="8"/>
    </row>
    <row r="237" spans="1:12" ht="15.75" thickBot="1">
      <c r="A237" s="8"/>
      <c r="B237" s="8"/>
      <c r="C237" s="38" t="s">
        <v>109</v>
      </c>
      <c r="D237" s="29">
        <v>0</v>
      </c>
      <c r="E237" s="34">
        <v>120.61</v>
      </c>
      <c r="F237" s="28">
        <v>60.45</v>
      </c>
      <c r="G237" s="28">
        <v>0</v>
      </c>
      <c r="H237" s="28">
        <v>0</v>
      </c>
      <c r="I237" s="28">
        <v>0</v>
      </c>
      <c r="J237" s="29">
        <f>SUM(D237:I237)</f>
        <v>181.06</v>
      </c>
      <c r="K237" s="8"/>
      <c r="L237" s="8"/>
    </row>
    <row r="238" spans="1:12">
      <c r="A238" s="8"/>
      <c r="B238" s="8"/>
      <c r="C238" s="8"/>
      <c r="D238" s="20"/>
      <c r="E238" s="20"/>
      <c r="F238" s="15"/>
      <c r="G238" s="15"/>
      <c r="H238" s="15"/>
      <c r="I238" s="15"/>
      <c r="J238" s="20"/>
      <c r="K238" s="8"/>
      <c r="L238" s="8"/>
    </row>
    <row r="239" spans="1:12" ht="15.75" thickBot="1">
      <c r="A239" s="8"/>
      <c r="B239" s="8"/>
      <c r="C239" s="8" t="s">
        <v>10</v>
      </c>
      <c r="D239" s="31">
        <f t="shared" ref="D239:I239" si="37">SUM(D234:D237)</f>
        <v>33795.449999999997</v>
      </c>
      <c r="E239" s="31">
        <f t="shared" si="37"/>
        <v>894.83</v>
      </c>
      <c r="F239" s="30">
        <f t="shared" si="37"/>
        <v>448.44</v>
      </c>
      <c r="G239" s="30">
        <f t="shared" si="37"/>
        <v>0</v>
      </c>
      <c r="H239" s="30">
        <f t="shared" si="37"/>
        <v>0</v>
      </c>
      <c r="I239" s="30">
        <f t="shared" si="37"/>
        <v>0</v>
      </c>
      <c r="J239" s="31">
        <f>SUM(D239:I239)</f>
        <v>35138.720000000001</v>
      </c>
      <c r="K239" s="8"/>
      <c r="L239" s="8"/>
    </row>
    <row r="240" spans="1:12" ht="15.75" thickTop="1">
      <c r="A240" s="8"/>
      <c r="B240" s="8"/>
      <c r="C240" s="8"/>
      <c r="D240" s="20"/>
      <c r="E240" s="20"/>
      <c r="F240" s="15"/>
      <c r="G240" s="15"/>
      <c r="H240" s="15"/>
      <c r="I240" s="15"/>
      <c r="J240" s="20"/>
      <c r="K240" s="8"/>
      <c r="L240" s="8"/>
    </row>
    <row r="241" spans="1:12">
      <c r="A241" s="8"/>
      <c r="B241" s="8"/>
      <c r="C241" s="8"/>
      <c r="D241" s="20"/>
      <c r="E241" s="20"/>
      <c r="F241" s="15"/>
      <c r="G241" s="15"/>
      <c r="H241" s="15"/>
      <c r="I241" s="15"/>
      <c r="J241" s="20"/>
      <c r="K241" s="8"/>
      <c r="L241" s="8"/>
    </row>
    <row r="242" spans="1:12">
      <c r="A242" s="8">
        <v>58</v>
      </c>
      <c r="B242" s="8" t="s">
        <v>53</v>
      </c>
      <c r="C242" s="8" t="s">
        <v>12</v>
      </c>
      <c r="D242" s="20">
        <f>12737.54+3120.47</f>
        <v>15858.01</v>
      </c>
      <c r="E242" s="35">
        <v>0</v>
      </c>
      <c r="F242" s="15">
        <v>0</v>
      </c>
      <c r="G242" s="15">
        <v>0</v>
      </c>
      <c r="H242" s="15">
        <v>0</v>
      </c>
      <c r="I242" s="15">
        <v>0</v>
      </c>
      <c r="J242" s="20">
        <f>SUM(D242:I242)</f>
        <v>15858.01</v>
      </c>
      <c r="K242" s="8"/>
      <c r="L242" s="8"/>
    </row>
    <row r="243" spans="1:12" ht="15.75" thickBot="1">
      <c r="A243" s="8"/>
      <c r="B243" s="8"/>
      <c r="C243" s="38" t="s">
        <v>116</v>
      </c>
      <c r="D243" s="29">
        <f>25827.32+6327.27</f>
        <v>32154.59</v>
      </c>
      <c r="E243" s="34"/>
      <c r="F243" s="28"/>
      <c r="G243" s="28"/>
      <c r="H243" s="28"/>
      <c r="I243" s="28"/>
      <c r="J243" s="34">
        <v>0</v>
      </c>
      <c r="K243" s="8"/>
      <c r="L243" s="8"/>
    </row>
    <row r="244" spans="1:12">
      <c r="A244" s="8"/>
      <c r="B244" s="8"/>
      <c r="C244" s="8"/>
      <c r="D244" s="20"/>
      <c r="E244" s="35"/>
      <c r="F244" s="15"/>
      <c r="G244" s="15"/>
      <c r="H244" s="15"/>
      <c r="I244" s="15"/>
      <c r="J244" s="20"/>
      <c r="K244" s="8"/>
      <c r="L244" s="8"/>
    </row>
    <row r="245" spans="1:12" ht="15.75" thickBot="1">
      <c r="A245" s="8"/>
      <c r="B245" s="8"/>
      <c r="C245" s="8" t="s">
        <v>10</v>
      </c>
      <c r="D245" s="31">
        <f t="shared" ref="D245:I245" si="38">SUM(D242:D243)</f>
        <v>48012.6</v>
      </c>
      <c r="E245" s="44">
        <f t="shared" si="38"/>
        <v>0</v>
      </c>
      <c r="F245" s="30">
        <f t="shared" si="38"/>
        <v>0</v>
      </c>
      <c r="G245" s="30">
        <f t="shared" si="38"/>
        <v>0</v>
      </c>
      <c r="H245" s="30">
        <f t="shared" si="38"/>
        <v>0</v>
      </c>
      <c r="I245" s="30">
        <f t="shared" si="38"/>
        <v>0</v>
      </c>
      <c r="J245" s="31">
        <f>SUM(D245:I245)</f>
        <v>48012.6</v>
      </c>
      <c r="K245" s="8"/>
      <c r="L245" s="8"/>
    </row>
    <row r="246" spans="1:12" ht="15.75" thickTop="1">
      <c r="A246" s="8"/>
      <c r="B246" s="8"/>
      <c r="C246" s="8"/>
      <c r="D246" s="20"/>
      <c r="E246" s="20"/>
      <c r="F246" s="15"/>
      <c r="G246" s="15"/>
      <c r="H246" s="15"/>
      <c r="I246" s="15"/>
      <c r="J246" s="20"/>
      <c r="K246" s="8"/>
      <c r="L246" s="8"/>
    </row>
    <row r="247" spans="1:12">
      <c r="A247" s="8"/>
      <c r="B247" s="8"/>
      <c r="C247" s="8"/>
      <c r="D247" s="20"/>
      <c r="E247" s="20"/>
      <c r="F247" s="15"/>
      <c r="G247" s="15"/>
      <c r="H247" s="15"/>
      <c r="I247" s="15"/>
      <c r="J247" s="20"/>
      <c r="K247" s="8"/>
      <c r="L247" s="8"/>
    </row>
    <row r="248" spans="1:12">
      <c r="A248" s="8">
        <v>59</v>
      </c>
      <c r="B248" s="8" t="s">
        <v>54</v>
      </c>
      <c r="C248" s="8" t="s">
        <v>12</v>
      </c>
      <c r="D248" s="20">
        <f>20859.57+4080.61</f>
        <v>24940.18</v>
      </c>
      <c r="E248" s="20">
        <v>607.4</v>
      </c>
      <c r="F248" s="15">
        <v>218.72</v>
      </c>
      <c r="G248" s="15">
        <v>0</v>
      </c>
      <c r="H248" s="15">
        <v>0</v>
      </c>
      <c r="I248" s="15">
        <v>0</v>
      </c>
      <c r="J248" s="20">
        <f>SUM(D248:I248)</f>
        <v>25766.300000000003</v>
      </c>
      <c r="K248" s="8"/>
      <c r="L248" s="8"/>
    </row>
    <row r="249" spans="1:12" ht="15.75" thickBot="1">
      <c r="A249" s="8"/>
      <c r="B249" s="8"/>
      <c r="C249" s="8" t="s">
        <v>35</v>
      </c>
      <c r="D249" s="29">
        <f>1176.29+230.13</f>
        <v>1406.42</v>
      </c>
      <c r="E249" s="29">
        <v>31.62</v>
      </c>
      <c r="F249" s="28">
        <v>12.1</v>
      </c>
      <c r="G249" s="28">
        <v>0</v>
      </c>
      <c r="H249" s="28">
        <v>0</v>
      </c>
      <c r="I249" s="28">
        <v>0</v>
      </c>
      <c r="J249" s="29">
        <f>SUM(D249:I249)</f>
        <v>1450.1399999999999</v>
      </c>
      <c r="K249" s="8"/>
      <c r="L249" s="8"/>
    </row>
    <row r="250" spans="1:12">
      <c r="A250" s="8"/>
      <c r="B250" s="8"/>
      <c r="C250" s="8"/>
      <c r="D250" s="20"/>
      <c r="E250" s="20"/>
      <c r="F250" s="15"/>
      <c r="G250" s="15"/>
      <c r="H250" s="15"/>
      <c r="I250" s="15"/>
      <c r="J250" s="20"/>
      <c r="K250" s="8"/>
      <c r="L250" s="8"/>
    </row>
    <row r="251" spans="1:12" ht="15.75" thickBot="1">
      <c r="A251" s="8"/>
      <c r="B251" s="8"/>
      <c r="C251" s="8" t="s">
        <v>10</v>
      </c>
      <c r="D251" s="31">
        <f t="shared" ref="D251:I251" si="39">SUM(D248:D249)</f>
        <v>26346.6</v>
      </c>
      <c r="E251" s="31">
        <f t="shared" si="39"/>
        <v>639.02</v>
      </c>
      <c r="F251" s="30">
        <f t="shared" si="39"/>
        <v>230.82</v>
      </c>
      <c r="G251" s="30">
        <f t="shared" si="39"/>
        <v>0</v>
      </c>
      <c r="H251" s="30">
        <f t="shared" si="39"/>
        <v>0</v>
      </c>
      <c r="I251" s="30">
        <f t="shared" si="39"/>
        <v>0</v>
      </c>
      <c r="J251" s="31">
        <f>SUM(D251:I251)</f>
        <v>27216.44</v>
      </c>
      <c r="K251" s="8"/>
      <c r="L251" s="8"/>
    </row>
    <row r="252" spans="1:12" ht="15.75" thickTop="1">
      <c r="A252" s="8"/>
      <c r="B252" s="8"/>
      <c r="C252" s="8"/>
      <c r="D252" s="20"/>
      <c r="E252" s="20"/>
      <c r="F252" s="15"/>
      <c r="G252" s="15"/>
      <c r="H252" s="15"/>
      <c r="I252" s="15"/>
      <c r="J252" s="20"/>
      <c r="K252" s="8"/>
      <c r="L252" s="8"/>
    </row>
    <row r="253" spans="1:12">
      <c r="A253" s="8"/>
      <c r="B253" s="8"/>
      <c r="C253" s="8"/>
      <c r="D253" s="20"/>
      <c r="E253" s="20"/>
      <c r="F253" s="15"/>
      <c r="G253" s="15"/>
      <c r="H253" s="15"/>
      <c r="I253" s="15"/>
      <c r="J253" s="20"/>
      <c r="K253" s="8"/>
      <c r="L253" s="8"/>
    </row>
    <row r="254" spans="1:12">
      <c r="A254" s="8">
        <v>60</v>
      </c>
      <c r="B254" s="8" t="s">
        <v>55</v>
      </c>
      <c r="C254" s="8" t="s">
        <v>12</v>
      </c>
      <c r="D254" s="20">
        <f>62497.17+11957.22</f>
        <v>74454.39</v>
      </c>
      <c r="E254" s="20">
        <v>819.13</v>
      </c>
      <c r="F254" s="15">
        <v>369.52</v>
      </c>
      <c r="G254" s="15">
        <v>0</v>
      </c>
      <c r="H254" s="15">
        <v>0</v>
      </c>
      <c r="I254" s="15">
        <v>0</v>
      </c>
      <c r="J254" s="20">
        <f>SUM(D254:I254)</f>
        <v>75643.040000000008</v>
      </c>
      <c r="K254" s="8"/>
      <c r="L254" s="8"/>
    </row>
    <row r="255" spans="1:12">
      <c r="A255" s="8"/>
      <c r="B255" s="8"/>
      <c r="C255" s="38" t="s">
        <v>35</v>
      </c>
      <c r="D255" s="20">
        <f>3090.68+591.22</f>
        <v>3681.8999999999996</v>
      </c>
      <c r="E255" s="35">
        <v>41.9</v>
      </c>
      <c r="F255" s="15">
        <v>19.2</v>
      </c>
      <c r="G255" s="15">
        <v>0</v>
      </c>
      <c r="H255" s="15">
        <v>0</v>
      </c>
      <c r="I255" s="15">
        <v>0</v>
      </c>
      <c r="J255" s="20">
        <f>SUM(D255:I255)</f>
        <v>3742.9999999999995</v>
      </c>
      <c r="K255" s="8"/>
      <c r="L255" s="8"/>
    </row>
    <row r="256" spans="1:12">
      <c r="A256" s="8"/>
      <c r="B256" s="8"/>
      <c r="C256" s="8" t="s">
        <v>97</v>
      </c>
      <c r="D256" s="20">
        <f>590.57+112.93</f>
        <v>703.5</v>
      </c>
      <c r="E256" s="35">
        <v>6.5</v>
      </c>
      <c r="F256" s="15">
        <v>3.41</v>
      </c>
      <c r="G256" s="15">
        <v>0</v>
      </c>
      <c r="H256" s="15">
        <v>0</v>
      </c>
      <c r="I256" s="15">
        <v>0</v>
      </c>
      <c r="J256" s="20">
        <f>SUM(D256:I256)</f>
        <v>713.41</v>
      </c>
      <c r="K256" s="8"/>
      <c r="L256" s="8"/>
    </row>
    <row r="257" spans="1:12">
      <c r="A257" s="8"/>
      <c r="B257" s="8"/>
      <c r="C257" s="8" t="s">
        <v>98</v>
      </c>
      <c r="D257" s="25">
        <f>1909.56+365.36</f>
        <v>2274.92</v>
      </c>
      <c r="E257" s="45">
        <v>31.06</v>
      </c>
      <c r="F257" s="24">
        <v>9.9600000000000009</v>
      </c>
      <c r="G257" s="24">
        <v>0</v>
      </c>
      <c r="H257" s="24">
        <v>0</v>
      </c>
      <c r="I257" s="24">
        <v>0</v>
      </c>
      <c r="J257" s="25">
        <f>SUM(D257:I257)</f>
        <v>2315.94</v>
      </c>
      <c r="K257" s="8"/>
      <c r="L257" s="8"/>
    </row>
    <row r="258" spans="1:12">
      <c r="A258" s="8"/>
      <c r="B258" s="8"/>
      <c r="C258" s="8"/>
      <c r="D258" s="20"/>
      <c r="E258" s="20"/>
      <c r="F258" s="15"/>
      <c r="G258" s="15"/>
      <c r="H258" s="15"/>
      <c r="I258" s="15"/>
      <c r="J258" s="20"/>
      <c r="K258" s="8"/>
      <c r="L258" s="8"/>
    </row>
    <row r="259" spans="1:12">
      <c r="A259" s="8"/>
      <c r="B259" s="8"/>
      <c r="C259" s="8"/>
      <c r="D259" s="20"/>
      <c r="E259" s="20"/>
      <c r="F259" s="15"/>
      <c r="G259" s="15"/>
      <c r="H259" s="15"/>
      <c r="I259" s="15"/>
      <c r="J259" s="20"/>
      <c r="K259" s="8"/>
      <c r="L259" s="8"/>
    </row>
    <row r="260" spans="1:12" ht="15.75" thickBot="1">
      <c r="A260" s="8"/>
      <c r="B260" s="8"/>
      <c r="C260" s="8" t="s">
        <v>10</v>
      </c>
      <c r="D260" s="31">
        <f t="shared" ref="D260:I260" si="40">SUM(D254:D259)</f>
        <v>81114.709999999992</v>
      </c>
      <c r="E260" s="31">
        <f t="shared" si="40"/>
        <v>898.58999999999992</v>
      </c>
      <c r="F260" s="30">
        <f t="shared" si="40"/>
        <v>402.09</v>
      </c>
      <c r="G260" s="30">
        <f t="shared" si="40"/>
        <v>0</v>
      </c>
      <c r="H260" s="30">
        <f t="shared" si="40"/>
        <v>0</v>
      </c>
      <c r="I260" s="30">
        <f t="shared" si="40"/>
        <v>0</v>
      </c>
      <c r="J260" s="31">
        <f>SUM(D260:I260)</f>
        <v>82415.389999999985</v>
      </c>
      <c r="K260" s="8"/>
      <c r="L260" s="8"/>
    </row>
    <row r="261" spans="1:12" ht="15.75" thickTop="1">
      <c r="A261" s="8"/>
      <c r="B261" s="8"/>
      <c r="C261" s="8"/>
      <c r="D261" s="20"/>
      <c r="E261" s="20"/>
      <c r="F261" s="15"/>
      <c r="G261" s="15"/>
      <c r="H261" s="15"/>
      <c r="I261" s="15"/>
      <c r="J261" s="20"/>
      <c r="K261" s="8"/>
      <c r="L261" s="8"/>
    </row>
    <row r="262" spans="1:12">
      <c r="A262" s="8"/>
      <c r="B262" s="8"/>
      <c r="C262" s="8"/>
      <c r="D262" s="20"/>
      <c r="E262" s="20"/>
      <c r="F262" s="15"/>
      <c r="G262" s="15"/>
      <c r="H262" s="15"/>
      <c r="I262" s="15"/>
      <c r="J262" s="20"/>
      <c r="K262" s="8"/>
      <c r="L262" s="8"/>
    </row>
    <row r="263" spans="1:12">
      <c r="A263" s="8">
        <v>61</v>
      </c>
      <c r="B263" s="8" t="s">
        <v>56</v>
      </c>
      <c r="C263" s="8" t="s">
        <v>12</v>
      </c>
      <c r="D263" s="39">
        <f>5836.04+1200.09</f>
        <v>7036.13</v>
      </c>
      <c r="E263" s="35">
        <v>110.36</v>
      </c>
      <c r="F263" s="15">
        <v>8.14</v>
      </c>
      <c r="G263" s="15">
        <v>0</v>
      </c>
      <c r="H263" s="15">
        <v>0</v>
      </c>
      <c r="I263" s="15">
        <v>0</v>
      </c>
      <c r="J263" s="20">
        <f>SUM(D263:I263)</f>
        <v>7154.63</v>
      </c>
      <c r="K263" s="8"/>
      <c r="L263" s="8"/>
    </row>
    <row r="264" spans="1:12">
      <c r="A264" s="8"/>
      <c r="B264" s="8"/>
      <c r="C264" s="8" t="s">
        <v>13</v>
      </c>
      <c r="D264" s="20">
        <f>163.56+33.63</f>
        <v>197.19</v>
      </c>
      <c r="E264" s="35">
        <v>1.86</v>
      </c>
      <c r="F264" s="15">
        <v>0.13</v>
      </c>
      <c r="G264" s="15">
        <v>0</v>
      </c>
      <c r="H264" s="15">
        <v>0</v>
      </c>
      <c r="I264" s="15">
        <v>0</v>
      </c>
      <c r="J264" s="20">
        <f>SUM(D264:I264)</f>
        <v>199.18</v>
      </c>
      <c r="K264" s="8"/>
      <c r="L264" s="8"/>
    </row>
    <row r="265" spans="1:12" ht="15.75" thickBot="1">
      <c r="A265" s="8"/>
      <c r="B265" s="8"/>
      <c r="C265" s="8" t="s">
        <v>99</v>
      </c>
      <c r="D265" s="29">
        <f>646.8+133</f>
        <v>779.8</v>
      </c>
      <c r="E265" s="34">
        <v>6.83</v>
      </c>
      <c r="F265" s="28">
        <v>0.62</v>
      </c>
      <c r="G265" s="28">
        <v>0</v>
      </c>
      <c r="H265" s="28">
        <v>0</v>
      </c>
      <c r="I265" s="28">
        <v>0</v>
      </c>
      <c r="J265" s="29">
        <f>SUM(D265:I265)</f>
        <v>787.25</v>
      </c>
      <c r="K265" s="8"/>
      <c r="L265" s="8"/>
    </row>
    <row r="266" spans="1:12">
      <c r="A266" s="8"/>
      <c r="B266" s="8"/>
      <c r="C266" s="8"/>
      <c r="D266" s="20"/>
      <c r="E266" s="35"/>
      <c r="F266" s="15"/>
      <c r="G266" s="15"/>
      <c r="H266" s="15"/>
      <c r="I266" s="15"/>
      <c r="J266" s="20"/>
      <c r="K266" s="8"/>
      <c r="L266" s="8"/>
    </row>
    <row r="267" spans="1:12" ht="15.75" thickBot="1">
      <c r="A267" s="8"/>
      <c r="B267" s="8"/>
      <c r="C267" s="8" t="s">
        <v>10</v>
      </c>
      <c r="D267" s="31">
        <f>SUM(D263:D265)</f>
        <v>8013.12</v>
      </c>
      <c r="E267" s="44">
        <f t="shared" ref="E267:J267" si="41">SUM(E263:E265)</f>
        <v>119.05</v>
      </c>
      <c r="F267" s="30">
        <f t="shared" si="41"/>
        <v>8.89</v>
      </c>
      <c r="G267" s="30">
        <f t="shared" si="41"/>
        <v>0</v>
      </c>
      <c r="H267" s="30">
        <f t="shared" si="41"/>
        <v>0</v>
      </c>
      <c r="I267" s="30">
        <f t="shared" si="41"/>
        <v>0</v>
      </c>
      <c r="J267" s="30">
        <f t="shared" si="41"/>
        <v>8141.06</v>
      </c>
      <c r="K267" s="8"/>
      <c r="L267" s="8"/>
    </row>
    <row r="268" spans="1:12" ht="15.75" thickTop="1">
      <c r="A268" s="8"/>
      <c r="B268" s="8"/>
      <c r="C268" s="8"/>
      <c r="D268" s="20"/>
      <c r="E268" s="35"/>
      <c r="F268" s="15"/>
      <c r="G268" s="15"/>
      <c r="H268" s="15"/>
      <c r="I268" s="15"/>
      <c r="J268" s="20"/>
      <c r="K268" s="8"/>
      <c r="L268" s="8"/>
    </row>
    <row r="269" spans="1:12">
      <c r="A269" s="8"/>
      <c r="B269" s="8"/>
      <c r="C269" s="8"/>
      <c r="D269" s="20"/>
      <c r="E269" s="35"/>
      <c r="F269" s="15"/>
      <c r="G269" s="15"/>
      <c r="H269" s="15"/>
      <c r="I269" s="15"/>
      <c r="J269" s="20"/>
      <c r="K269" s="8"/>
      <c r="L269" s="8"/>
    </row>
    <row r="270" spans="1:12">
      <c r="A270" s="8">
        <v>62</v>
      </c>
      <c r="B270" s="8" t="s">
        <v>57</v>
      </c>
      <c r="C270" s="8" t="s">
        <v>12</v>
      </c>
      <c r="D270" s="20">
        <f>4553.12+1361.52</f>
        <v>5914.6399999999994</v>
      </c>
      <c r="E270" s="35">
        <v>0.22</v>
      </c>
      <c r="F270" s="15">
        <v>0</v>
      </c>
      <c r="G270" s="15">
        <v>0</v>
      </c>
      <c r="H270" s="15">
        <v>0</v>
      </c>
      <c r="I270" s="15">
        <v>0</v>
      </c>
      <c r="J270" s="20">
        <f>SUM(D270:I270)</f>
        <v>5914.86</v>
      </c>
      <c r="K270" s="8"/>
      <c r="L270" s="8"/>
    </row>
    <row r="271" spans="1:12" ht="15.75" thickBot="1">
      <c r="A271" s="8"/>
      <c r="B271" s="8"/>
      <c r="C271" s="8" t="s">
        <v>13</v>
      </c>
      <c r="D271" s="29">
        <f>71.26+21.29</f>
        <v>92.550000000000011</v>
      </c>
      <c r="E271" s="34">
        <v>0</v>
      </c>
      <c r="F271" s="28">
        <v>0</v>
      </c>
      <c r="G271" s="28">
        <v>0</v>
      </c>
      <c r="H271" s="28">
        <v>0</v>
      </c>
      <c r="I271" s="28">
        <v>0</v>
      </c>
      <c r="J271" s="29">
        <f>SUM(D271:I271)</f>
        <v>92.550000000000011</v>
      </c>
      <c r="K271" s="8"/>
      <c r="L271" s="8"/>
    </row>
    <row r="272" spans="1:12">
      <c r="A272" s="8"/>
      <c r="B272" s="8"/>
      <c r="C272" s="8"/>
      <c r="D272" s="20"/>
      <c r="E272" s="35"/>
      <c r="F272" s="15"/>
      <c r="G272" s="15"/>
      <c r="H272" s="15"/>
      <c r="I272" s="15"/>
      <c r="J272" s="20"/>
      <c r="K272" s="8"/>
      <c r="L272" s="8"/>
    </row>
    <row r="273" spans="1:12" ht="15.75" thickBot="1">
      <c r="A273" s="8"/>
      <c r="B273" s="8"/>
      <c r="C273" s="8" t="s">
        <v>10</v>
      </c>
      <c r="D273" s="31">
        <f t="shared" ref="D273:I273" si="42">SUM(D270:D271)</f>
        <v>6007.19</v>
      </c>
      <c r="E273" s="44">
        <f t="shared" si="42"/>
        <v>0.22</v>
      </c>
      <c r="F273" s="30">
        <f t="shared" si="42"/>
        <v>0</v>
      </c>
      <c r="G273" s="30">
        <f t="shared" si="42"/>
        <v>0</v>
      </c>
      <c r="H273" s="30">
        <f t="shared" si="42"/>
        <v>0</v>
      </c>
      <c r="I273" s="30">
        <f t="shared" si="42"/>
        <v>0</v>
      </c>
      <c r="J273" s="31">
        <f>SUM(D273:I273)</f>
        <v>6007.41</v>
      </c>
      <c r="K273" s="8"/>
      <c r="L273" s="8"/>
    </row>
    <row r="274" spans="1:12" ht="15.75" thickTop="1">
      <c r="A274" s="8"/>
      <c r="B274" s="8"/>
      <c r="C274" s="8"/>
      <c r="D274" s="20"/>
      <c r="E274" s="20"/>
      <c r="F274" s="15"/>
      <c r="G274" s="15"/>
      <c r="H274" s="15"/>
      <c r="I274" s="15"/>
      <c r="J274" s="20"/>
      <c r="K274" s="8"/>
      <c r="L274" s="8"/>
    </row>
    <row r="275" spans="1:12">
      <c r="A275" s="8"/>
      <c r="B275" s="8"/>
      <c r="C275" s="8"/>
      <c r="D275" s="20"/>
      <c r="E275" s="20"/>
      <c r="F275" s="15"/>
      <c r="G275" s="15"/>
      <c r="H275" s="15"/>
      <c r="I275" s="15"/>
      <c r="J275" s="20"/>
      <c r="K275" s="8"/>
      <c r="L275" s="8"/>
    </row>
    <row r="276" spans="1:12">
      <c r="A276" s="8">
        <v>63</v>
      </c>
      <c r="B276" s="8" t="s">
        <v>58</v>
      </c>
      <c r="C276" s="8" t="s">
        <v>12</v>
      </c>
      <c r="D276" s="20">
        <f>10477.31+3240.55</f>
        <v>13717.86</v>
      </c>
      <c r="E276" s="20">
        <v>263.8</v>
      </c>
      <c r="F276" s="15">
        <v>2</v>
      </c>
      <c r="G276" s="15">
        <v>0</v>
      </c>
      <c r="H276" s="15">
        <v>0</v>
      </c>
      <c r="I276" s="15">
        <v>0</v>
      </c>
      <c r="J276" s="20">
        <f>SUM(D276:I276)</f>
        <v>13983.66</v>
      </c>
      <c r="K276" s="8"/>
      <c r="L276" s="8"/>
    </row>
    <row r="277" spans="1:12" ht="15.75" thickBot="1">
      <c r="A277" s="8"/>
      <c r="B277" s="8"/>
      <c r="C277" s="8" t="s">
        <v>13</v>
      </c>
      <c r="D277" s="29">
        <f>268.96+83.14</f>
        <v>352.09999999999997</v>
      </c>
      <c r="E277" s="29">
        <v>6.74</v>
      </c>
      <c r="F277" s="28">
        <v>0.28999999999999998</v>
      </c>
      <c r="G277" s="28">
        <v>0</v>
      </c>
      <c r="H277" s="28">
        <v>0</v>
      </c>
      <c r="I277" s="28">
        <v>0</v>
      </c>
      <c r="J277" s="29">
        <f>SUM(D277:I277)</f>
        <v>359.13</v>
      </c>
      <c r="K277" s="8"/>
      <c r="L277" s="8"/>
    </row>
    <row r="278" spans="1:12">
      <c r="A278" s="8"/>
      <c r="B278" s="8"/>
      <c r="C278" s="8"/>
      <c r="D278" s="20"/>
      <c r="E278" s="20"/>
      <c r="F278" s="15"/>
      <c r="G278" s="15"/>
      <c r="H278" s="15"/>
      <c r="I278" s="15"/>
      <c r="J278" s="20"/>
      <c r="K278" s="8"/>
      <c r="L278" s="8"/>
    </row>
    <row r="279" spans="1:12" ht="15.75" thickBot="1">
      <c r="A279" s="8"/>
      <c r="B279" s="8"/>
      <c r="C279" s="8" t="s">
        <v>10</v>
      </c>
      <c r="D279" s="31">
        <f t="shared" ref="D279:I279" si="43">SUM(D276:D277)</f>
        <v>14069.960000000001</v>
      </c>
      <c r="E279" s="31">
        <f t="shared" si="43"/>
        <v>270.54000000000002</v>
      </c>
      <c r="F279" s="30">
        <f t="shared" si="43"/>
        <v>2.29</v>
      </c>
      <c r="G279" s="30">
        <f t="shared" si="43"/>
        <v>0</v>
      </c>
      <c r="H279" s="30">
        <f t="shared" si="43"/>
        <v>0</v>
      </c>
      <c r="I279" s="30">
        <f t="shared" si="43"/>
        <v>0</v>
      </c>
      <c r="J279" s="31">
        <f>SUM(D279:I279)</f>
        <v>14342.790000000003</v>
      </c>
      <c r="K279" s="8"/>
      <c r="L279" s="8"/>
    </row>
    <row r="280" spans="1:12" ht="15.75" thickTop="1">
      <c r="A280" s="8"/>
      <c r="B280" s="8"/>
      <c r="C280" s="8"/>
      <c r="D280" s="20"/>
      <c r="E280" s="20"/>
      <c r="F280" s="15"/>
      <c r="G280" s="15"/>
      <c r="H280" s="15"/>
      <c r="I280" s="15"/>
      <c r="J280" s="20"/>
      <c r="K280" s="8"/>
      <c r="L280" s="8"/>
    </row>
    <row r="281" spans="1:12">
      <c r="A281" s="8"/>
      <c r="B281" s="8"/>
      <c r="C281" s="8"/>
      <c r="D281" s="20"/>
      <c r="E281" s="20"/>
      <c r="F281" s="15"/>
      <c r="G281" s="15"/>
      <c r="H281" s="15"/>
      <c r="I281" s="15"/>
      <c r="J281" s="20"/>
      <c r="K281" s="8"/>
      <c r="L281" s="8"/>
    </row>
    <row r="282" spans="1:12" ht="15.75" thickBot="1">
      <c r="A282" s="8">
        <v>64</v>
      </c>
      <c r="B282" s="8" t="s">
        <v>59</v>
      </c>
      <c r="C282" s="8" t="s">
        <v>12</v>
      </c>
      <c r="D282" s="29">
        <f>57636.13+10817.56</f>
        <v>68453.69</v>
      </c>
      <c r="E282" s="29">
        <v>719.04</v>
      </c>
      <c r="F282" s="28">
        <v>592.08000000000004</v>
      </c>
      <c r="G282" s="28">
        <v>0</v>
      </c>
      <c r="H282" s="28">
        <v>0</v>
      </c>
      <c r="I282" s="28">
        <v>0</v>
      </c>
      <c r="J282" s="29">
        <f>SUM(D282:I282)</f>
        <v>69764.81</v>
      </c>
      <c r="K282" s="8"/>
      <c r="L282" s="8"/>
    </row>
    <row r="283" spans="1:12">
      <c r="A283" s="8"/>
      <c r="B283" s="8"/>
      <c r="C283" s="8"/>
      <c r="D283" s="20"/>
      <c r="E283" s="20"/>
      <c r="F283" s="15"/>
      <c r="G283" s="15"/>
      <c r="H283" s="15"/>
      <c r="I283" s="15"/>
      <c r="J283" s="20"/>
      <c r="K283" s="8"/>
      <c r="L283" s="8"/>
    </row>
    <row r="284" spans="1:12" ht="15.75" thickBot="1">
      <c r="A284" s="8"/>
      <c r="B284" s="8"/>
      <c r="C284" s="8" t="s">
        <v>10</v>
      </c>
      <c r="D284" s="31">
        <f t="shared" ref="D284:I284" si="44">SUM(D282:D283)</f>
        <v>68453.69</v>
      </c>
      <c r="E284" s="31">
        <f t="shared" si="44"/>
        <v>719.04</v>
      </c>
      <c r="F284" s="30">
        <f t="shared" si="44"/>
        <v>592.08000000000004</v>
      </c>
      <c r="G284" s="30">
        <f t="shared" si="44"/>
        <v>0</v>
      </c>
      <c r="H284" s="30">
        <f t="shared" si="44"/>
        <v>0</v>
      </c>
      <c r="I284" s="30">
        <f t="shared" si="44"/>
        <v>0</v>
      </c>
      <c r="J284" s="31">
        <f>SUM(D284:I284)</f>
        <v>69764.81</v>
      </c>
      <c r="K284" s="8"/>
      <c r="L284" s="8"/>
    </row>
    <row r="285" spans="1:12" ht="15.75" thickTop="1">
      <c r="A285" s="8"/>
      <c r="B285" s="8"/>
      <c r="C285" s="8"/>
      <c r="D285" s="20"/>
      <c r="E285" s="20"/>
      <c r="F285" s="15"/>
      <c r="G285" s="15"/>
      <c r="H285" s="15"/>
      <c r="I285" s="15"/>
      <c r="J285" s="20"/>
      <c r="K285" s="8"/>
      <c r="L285" s="8"/>
    </row>
    <row r="286" spans="1:12">
      <c r="A286" s="8"/>
      <c r="B286" s="12"/>
      <c r="C286" s="12"/>
      <c r="D286" s="36"/>
      <c r="E286" s="36"/>
      <c r="F286" s="16"/>
      <c r="G286" s="13"/>
      <c r="H286" s="13"/>
      <c r="I286" s="13"/>
      <c r="J286" s="20"/>
      <c r="K286" s="8"/>
      <c r="L286" s="8"/>
    </row>
    <row r="287" spans="1:12">
      <c r="A287" s="8">
        <v>65</v>
      </c>
      <c r="B287" s="8" t="s">
        <v>60</v>
      </c>
      <c r="C287" s="8" t="s">
        <v>12</v>
      </c>
      <c r="D287" s="25">
        <f>11805.01+2579.7</f>
        <v>14384.71</v>
      </c>
      <c r="E287" s="25">
        <v>28.55</v>
      </c>
      <c r="F287" s="24">
        <v>10.44</v>
      </c>
      <c r="G287" s="24">
        <v>0</v>
      </c>
      <c r="H287" s="24">
        <v>0</v>
      </c>
      <c r="I287" s="24">
        <v>0</v>
      </c>
      <c r="J287" s="25">
        <f>SUM(D287:I287)</f>
        <v>14423.699999999999</v>
      </c>
      <c r="K287" s="8"/>
      <c r="L287" s="8"/>
    </row>
    <row r="288" spans="1:12" ht="15.75" hidden="1" thickBot="1">
      <c r="A288" s="8"/>
      <c r="B288" s="8"/>
      <c r="C288" s="8" t="s">
        <v>13</v>
      </c>
      <c r="D288" s="29"/>
      <c r="E288" s="29"/>
      <c r="F288" s="28"/>
      <c r="G288" s="28"/>
      <c r="H288" s="28"/>
      <c r="I288" s="28"/>
      <c r="J288" s="29"/>
      <c r="K288" s="8"/>
      <c r="L288" s="8"/>
    </row>
    <row r="289" spans="1:12">
      <c r="A289" s="8"/>
      <c r="B289" s="8"/>
      <c r="C289" s="8"/>
      <c r="D289" s="20"/>
      <c r="E289" s="20"/>
      <c r="F289" s="15"/>
      <c r="G289" s="15"/>
      <c r="H289" s="15"/>
      <c r="I289" s="15"/>
      <c r="J289" s="20"/>
      <c r="K289" s="8"/>
      <c r="L289" s="8"/>
    </row>
    <row r="290" spans="1:12" ht="15.75" thickBot="1">
      <c r="A290" s="8"/>
      <c r="B290" s="8"/>
      <c r="C290" s="8" t="s">
        <v>10</v>
      </c>
      <c r="D290" s="31">
        <f t="shared" ref="D290:I290" si="45">SUM(D287:D288)</f>
        <v>14384.71</v>
      </c>
      <c r="E290" s="31">
        <f t="shared" si="45"/>
        <v>28.55</v>
      </c>
      <c r="F290" s="30">
        <f t="shared" si="45"/>
        <v>10.44</v>
      </c>
      <c r="G290" s="30">
        <f t="shared" si="45"/>
        <v>0</v>
      </c>
      <c r="H290" s="30">
        <f t="shared" si="45"/>
        <v>0</v>
      </c>
      <c r="I290" s="30">
        <f t="shared" si="45"/>
        <v>0</v>
      </c>
      <c r="J290" s="31">
        <f>SUM(D290:I290)</f>
        <v>14423.699999999999</v>
      </c>
      <c r="K290" s="8"/>
      <c r="L290" s="8"/>
    </row>
    <row r="291" spans="1:12" ht="15.75" thickTop="1">
      <c r="A291" s="8"/>
      <c r="B291" s="8"/>
      <c r="C291" s="8"/>
      <c r="D291" s="20"/>
      <c r="E291" s="20"/>
      <c r="F291" s="15"/>
      <c r="G291" s="15"/>
      <c r="H291" s="15"/>
      <c r="I291" s="15"/>
      <c r="J291" s="20"/>
      <c r="K291" s="8"/>
      <c r="L291" s="8"/>
    </row>
    <row r="292" spans="1:12">
      <c r="A292" s="8"/>
      <c r="B292" s="8"/>
      <c r="C292" s="8"/>
      <c r="D292" s="20"/>
      <c r="E292" s="20"/>
      <c r="F292" s="15"/>
      <c r="G292" s="15"/>
      <c r="H292" s="15"/>
      <c r="I292" s="15"/>
      <c r="J292" s="20"/>
      <c r="K292" s="8"/>
      <c r="L292" s="8"/>
    </row>
    <row r="293" spans="1:12">
      <c r="A293" s="8">
        <v>66</v>
      </c>
      <c r="B293" s="8" t="s">
        <v>61</v>
      </c>
      <c r="C293" s="8" t="s">
        <v>12</v>
      </c>
      <c r="D293" s="20">
        <f>8483.24+1921.21</f>
        <v>10404.450000000001</v>
      </c>
      <c r="E293" s="20">
        <v>159.78</v>
      </c>
      <c r="F293" s="15">
        <v>173.58</v>
      </c>
      <c r="G293" s="15">
        <v>0</v>
      </c>
      <c r="H293" s="15">
        <v>0</v>
      </c>
      <c r="I293" s="15">
        <v>0</v>
      </c>
      <c r="J293" s="20">
        <f>SUM(D293:I293)</f>
        <v>10737.810000000001</v>
      </c>
      <c r="K293" s="8"/>
      <c r="L293" s="8"/>
    </row>
    <row r="294" spans="1:12">
      <c r="A294" s="8"/>
      <c r="B294" s="8"/>
      <c r="C294" s="38" t="s">
        <v>35</v>
      </c>
      <c r="D294" s="20">
        <f>648.58+146.88</f>
        <v>795.46</v>
      </c>
      <c r="E294" s="35">
        <v>11.25</v>
      </c>
      <c r="F294" s="15">
        <v>10.15</v>
      </c>
      <c r="G294" s="15">
        <v>0</v>
      </c>
      <c r="H294" s="15">
        <v>0</v>
      </c>
      <c r="I294" s="15">
        <v>0</v>
      </c>
      <c r="J294" s="35">
        <f>SUM(D294:I294)</f>
        <v>816.86</v>
      </c>
      <c r="K294" s="8"/>
      <c r="L294" s="8"/>
    </row>
    <row r="295" spans="1:12">
      <c r="A295" s="8"/>
      <c r="B295" s="8"/>
      <c r="C295" s="38" t="s">
        <v>73</v>
      </c>
      <c r="D295" s="20">
        <f>1063.57+240.89</f>
        <v>1304.46</v>
      </c>
      <c r="E295" s="20">
        <v>10</v>
      </c>
      <c r="F295" s="15">
        <v>20.14</v>
      </c>
      <c r="G295" s="15">
        <v>0</v>
      </c>
      <c r="H295" s="15">
        <v>0</v>
      </c>
      <c r="I295" s="15">
        <v>0</v>
      </c>
      <c r="J295" s="35">
        <f>SUM(D295:I295)</f>
        <v>1334.6000000000001</v>
      </c>
      <c r="K295" s="8"/>
      <c r="L295" s="8"/>
    </row>
    <row r="296" spans="1:12" ht="15.75" thickBot="1">
      <c r="A296" s="8"/>
      <c r="B296" s="8"/>
      <c r="C296" s="38" t="s">
        <v>109</v>
      </c>
      <c r="D296" s="29">
        <f>1595.43+361.33</f>
        <v>1956.76</v>
      </c>
      <c r="E296" s="34">
        <v>29.99</v>
      </c>
      <c r="F296" s="28">
        <v>30.24</v>
      </c>
      <c r="G296" s="33">
        <v>0</v>
      </c>
      <c r="H296" s="33">
        <v>0</v>
      </c>
      <c r="I296" s="33">
        <v>0</v>
      </c>
      <c r="J296" s="29">
        <f>SUM(D296:I296)</f>
        <v>2016.99</v>
      </c>
      <c r="K296" s="8"/>
      <c r="L296" s="8"/>
    </row>
    <row r="297" spans="1:12">
      <c r="A297" s="8"/>
      <c r="B297" s="8"/>
      <c r="C297" s="8"/>
      <c r="D297" s="20"/>
      <c r="E297" s="20"/>
      <c r="F297" s="15"/>
      <c r="G297" s="8"/>
      <c r="H297" s="8"/>
      <c r="I297" s="8"/>
      <c r="J297" s="20"/>
      <c r="K297" s="8"/>
      <c r="L297" s="8"/>
    </row>
    <row r="298" spans="1:12" ht="15.75" thickBot="1">
      <c r="A298" s="8"/>
      <c r="B298" s="8"/>
      <c r="C298" s="8" t="s">
        <v>10</v>
      </c>
      <c r="D298" s="31">
        <f t="shared" ref="D298:I298" si="46">SUM(D293:D296)</f>
        <v>14461.13</v>
      </c>
      <c r="E298" s="31">
        <f t="shared" si="46"/>
        <v>211.02</v>
      </c>
      <c r="F298" s="30">
        <f t="shared" si="46"/>
        <v>234.11</v>
      </c>
      <c r="G298" s="30">
        <f t="shared" si="46"/>
        <v>0</v>
      </c>
      <c r="H298" s="30">
        <f t="shared" si="46"/>
        <v>0</v>
      </c>
      <c r="I298" s="30">
        <f t="shared" si="46"/>
        <v>0</v>
      </c>
      <c r="J298" s="31">
        <f>SUM(D298:I298)</f>
        <v>14906.26</v>
      </c>
      <c r="K298" s="8"/>
      <c r="L298" s="8"/>
    </row>
    <row r="299" spans="1:12" ht="15.75" thickTop="1">
      <c r="A299" s="8"/>
      <c r="B299" s="8"/>
      <c r="C299" s="8"/>
      <c r="D299" s="20"/>
      <c r="E299" s="20"/>
      <c r="F299" s="15"/>
      <c r="G299" s="15"/>
      <c r="H299" s="15"/>
      <c r="I299" s="15"/>
      <c r="J299" s="20"/>
      <c r="K299" s="8"/>
      <c r="L299" s="8"/>
    </row>
    <row r="300" spans="1:12">
      <c r="A300" s="8"/>
      <c r="B300" s="8"/>
      <c r="C300" s="8"/>
      <c r="D300" s="20"/>
      <c r="E300" s="20"/>
      <c r="F300" s="15"/>
      <c r="G300" s="15"/>
      <c r="H300" s="15"/>
      <c r="I300" s="15"/>
      <c r="J300" s="20"/>
      <c r="K300" s="8"/>
      <c r="L300" s="8"/>
    </row>
    <row r="301" spans="1:12">
      <c r="A301" s="8">
        <v>67</v>
      </c>
      <c r="B301" s="8" t="s">
        <v>62</v>
      </c>
      <c r="C301" s="8" t="s">
        <v>12</v>
      </c>
      <c r="D301" s="20">
        <f>14228.38+3294.36</f>
        <v>17522.739999999998</v>
      </c>
      <c r="E301" s="20">
        <v>481.8</v>
      </c>
      <c r="F301" s="15">
        <v>205.93</v>
      </c>
      <c r="G301" s="15">
        <v>0</v>
      </c>
      <c r="H301" s="15">
        <v>0</v>
      </c>
      <c r="I301" s="15">
        <v>0</v>
      </c>
      <c r="J301" s="20">
        <f>SUM(D301:I301)</f>
        <v>18210.469999999998</v>
      </c>
      <c r="K301" s="8"/>
      <c r="L301" s="8"/>
    </row>
    <row r="302" spans="1:12" ht="15.75" thickBot="1">
      <c r="A302" s="8"/>
      <c r="B302" s="8"/>
      <c r="C302" s="8" t="s">
        <v>13</v>
      </c>
      <c r="D302" s="29">
        <f>418.67+97</f>
        <v>515.67000000000007</v>
      </c>
      <c r="E302" s="29">
        <v>10.95</v>
      </c>
      <c r="F302" s="28">
        <v>5.6</v>
      </c>
      <c r="G302" s="28">
        <v>0</v>
      </c>
      <c r="H302" s="28">
        <v>0</v>
      </c>
      <c r="I302" s="28">
        <v>0</v>
      </c>
      <c r="J302" s="29">
        <f>SUM(D302:I302)</f>
        <v>532.22000000000014</v>
      </c>
      <c r="K302" s="8"/>
      <c r="L302" s="8"/>
    </row>
    <row r="303" spans="1:12">
      <c r="A303" s="8"/>
      <c r="B303" s="8"/>
      <c r="C303" s="8"/>
      <c r="D303" s="20"/>
      <c r="E303" s="20"/>
      <c r="F303" s="15"/>
      <c r="G303" s="15"/>
      <c r="H303" s="15"/>
      <c r="I303" s="15"/>
      <c r="J303" s="20"/>
      <c r="K303" s="8"/>
      <c r="L303" s="8"/>
    </row>
    <row r="304" spans="1:12" ht="15.75" thickBot="1">
      <c r="A304" s="8"/>
      <c r="B304" s="8"/>
      <c r="C304" s="8" t="s">
        <v>10</v>
      </c>
      <c r="D304" s="31">
        <f t="shared" ref="D304:I304" si="47">SUM(D301:D302)</f>
        <v>18038.409999999996</v>
      </c>
      <c r="E304" s="31">
        <f t="shared" si="47"/>
        <v>492.75</v>
      </c>
      <c r="F304" s="30">
        <f t="shared" si="47"/>
        <v>211.53</v>
      </c>
      <c r="G304" s="30">
        <f t="shared" si="47"/>
        <v>0</v>
      </c>
      <c r="H304" s="30">
        <f t="shared" si="47"/>
        <v>0</v>
      </c>
      <c r="I304" s="30">
        <f t="shared" si="47"/>
        <v>0</v>
      </c>
      <c r="J304" s="31">
        <f>SUM(D304:I304)</f>
        <v>18742.689999999995</v>
      </c>
      <c r="K304" s="8"/>
      <c r="L304" s="8"/>
    </row>
    <row r="305" spans="1:12" ht="15.75" thickTop="1">
      <c r="A305" s="8"/>
      <c r="B305" s="8"/>
      <c r="C305" s="8"/>
      <c r="D305" s="20"/>
      <c r="E305" s="20"/>
      <c r="F305" s="15"/>
      <c r="G305" s="15"/>
      <c r="H305" s="15"/>
      <c r="I305" s="15"/>
      <c r="J305" s="20"/>
      <c r="K305" s="8"/>
      <c r="L305" s="8"/>
    </row>
    <row r="306" spans="1:12">
      <c r="A306" s="8"/>
      <c r="B306" s="8"/>
      <c r="C306" s="8"/>
      <c r="D306" s="20"/>
      <c r="E306" s="20"/>
      <c r="F306" s="15"/>
      <c r="G306" s="15"/>
      <c r="H306" s="15"/>
      <c r="I306" s="15"/>
      <c r="J306" s="20"/>
      <c r="K306" s="8"/>
      <c r="L306" s="8"/>
    </row>
    <row r="307" spans="1:12">
      <c r="A307" s="8">
        <v>68</v>
      </c>
      <c r="B307" s="8" t="s">
        <v>63</v>
      </c>
      <c r="C307" s="8" t="s">
        <v>12</v>
      </c>
      <c r="D307" s="25">
        <f>7842.19+1664.44</f>
        <v>9506.6299999999992</v>
      </c>
      <c r="E307" s="45">
        <v>21.96</v>
      </c>
      <c r="F307" s="24">
        <v>27.25</v>
      </c>
      <c r="G307" s="24">
        <v>0</v>
      </c>
      <c r="H307" s="24">
        <v>0</v>
      </c>
      <c r="I307" s="24">
        <v>0</v>
      </c>
      <c r="J307" s="25">
        <f>SUM(D307:I307)</f>
        <v>9555.8399999999983</v>
      </c>
      <c r="K307" s="8"/>
      <c r="L307" s="8"/>
    </row>
    <row r="308" spans="1:12" ht="15.75" hidden="1" thickBot="1">
      <c r="A308" s="8"/>
      <c r="B308" s="8"/>
      <c r="C308" s="8" t="s">
        <v>13</v>
      </c>
      <c r="D308" s="29"/>
      <c r="E308" s="34"/>
      <c r="F308" s="28"/>
      <c r="G308" s="28"/>
      <c r="H308" s="28"/>
      <c r="I308" s="28"/>
      <c r="J308" s="29"/>
      <c r="K308" s="8"/>
      <c r="L308" s="8"/>
    </row>
    <row r="309" spans="1:12">
      <c r="A309" s="8"/>
      <c r="B309" s="8"/>
      <c r="C309" s="8"/>
      <c r="D309" s="20"/>
      <c r="E309" s="35"/>
      <c r="F309" s="15"/>
      <c r="G309" s="15"/>
      <c r="H309" s="15"/>
      <c r="I309" s="15"/>
      <c r="J309" s="20"/>
      <c r="K309" s="8"/>
      <c r="L309" s="8"/>
    </row>
    <row r="310" spans="1:12" ht="15.75" thickBot="1">
      <c r="A310" s="8"/>
      <c r="B310" s="8"/>
      <c r="C310" s="8" t="s">
        <v>10</v>
      </c>
      <c r="D310" s="31">
        <f t="shared" ref="D310:I310" si="48">SUM(D307:D308)</f>
        <v>9506.6299999999992</v>
      </c>
      <c r="E310" s="44">
        <f t="shared" si="48"/>
        <v>21.96</v>
      </c>
      <c r="F310" s="30">
        <f t="shared" si="48"/>
        <v>27.25</v>
      </c>
      <c r="G310" s="30">
        <f t="shared" si="48"/>
        <v>0</v>
      </c>
      <c r="H310" s="30">
        <f t="shared" si="48"/>
        <v>0</v>
      </c>
      <c r="I310" s="30">
        <f t="shared" si="48"/>
        <v>0</v>
      </c>
      <c r="J310" s="31">
        <f>SUM(D310:I310)</f>
        <v>9555.8399999999983</v>
      </c>
      <c r="K310" s="8"/>
      <c r="L310" s="8"/>
    </row>
    <row r="311" spans="1:12" ht="15.75" thickTop="1">
      <c r="A311" s="8"/>
      <c r="B311" s="8"/>
      <c r="C311" s="8"/>
      <c r="D311" s="20"/>
      <c r="E311" s="20"/>
      <c r="F311" s="15"/>
      <c r="G311" s="15"/>
      <c r="H311" s="15"/>
      <c r="I311" s="15"/>
      <c r="J311" s="20"/>
      <c r="K311" s="8"/>
      <c r="L311" s="8"/>
    </row>
    <row r="312" spans="1:12">
      <c r="A312" s="8"/>
      <c r="B312" s="8"/>
      <c r="C312" s="8"/>
      <c r="D312" s="20"/>
      <c r="E312" s="20"/>
      <c r="F312" s="15"/>
      <c r="G312" s="15"/>
      <c r="H312" s="15"/>
      <c r="I312" s="15"/>
      <c r="J312" s="20"/>
      <c r="K312" s="8"/>
      <c r="L312" s="8"/>
    </row>
    <row r="313" spans="1:12">
      <c r="A313" s="8">
        <v>69</v>
      </c>
      <c r="B313" s="8" t="s">
        <v>64</v>
      </c>
      <c r="C313" s="8" t="s">
        <v>12</v>
      </c>
      <c r="D313" s="25">
        <f>7719.82+1777.39</f>
        <v>9497.2099999999991</v>
      </c>
      <c r="E313" s="25">
        <v>3.92</v>
      </c>
      <c r="F313" s="24">
        <v>3.74</v>
      </c>
      <c r="G313" s="24">
        <v>0</v>
      </c>
      <c r="H313" s="24">
        <v>0</v>
      </c>
      <c r="I313" s="24">
        <v>0</v>
      </c>
      <c r="J313" s="25">
        <f>SUM(D313:I313)</f>
        <v>9504.869999999999</v>
      </c>
      <c r="K313" s="8"/>
      <c r="L313" s="8"/>
    </row>
    <row r="314" spans="1:12" ht="15.75" hidden="1" thickBot="1">
      <c r="A314" s="8"/>
      <c r="B314" s="8"/>
      <c r="C314" s="8" t="s">
        <v>13</v>
      </c>
      <c r="D314" s="29"/>
      <c r="E314" s="29"/>
      <c r="F314" s="28"/>
      <c r="G314" s="28"/>
      <c r="H314" s="28"/>
      <c r="I314" s="28"/>
      <c r="J314" s="34">
        <v>0</v>
      </c>
      <c r="K314" s="8"/>
      <c r="L314" s="8"/>
    </row>
    <row r="315" spans="1:12">
      <c r="A315" s="8"/>
      <c r="B315" s="8"/>
      <c r="C315" s="8"/>
      <c r="D315" s="20"/>
      <c r="E315" s="20"/>
      <c r="F315" s="15"/>
      <c r="G315" s="15"/>
      <c r="H315" s="15"/>
      <c r="I315" s="15"/>
      <c r="J315" s="20"/>
      <c r="K315" s="8"/>
      <c r="L315" s="8"/>
    </row>
    <row r="316" spans="1:12" ht="15.75" thickBot="1">
      <c r="A316" s="8"/>
      <c r="B316" s="8"/>
      <c r="C316" s="8" t="s">
        <v>10</v>
      </c>
      <c r="D316" s="31">
        <f t="shared" ref="D316:I316" si="49">SUM(D313:D314)</f>
        <v>9497.2099999999991</v>
      </c>
      <c r="E316" s="31">
        <f t="shared" si="49"/>
        <v>3.92</v>
      </c>
      <c r="F316" s="30">
        <f t="shared" si="49"/>
        <v>3.74</v>
      </c>
      <c r="G316" s="30">
        <f t="shared" si="49"/>
        <v>0</v>
      </c>
      <c r="H316" s="30">
        <f t="shared" si="49"/>
        <v>0</v>
      </c>
      <c r="I316" s="30">
        <f t="shared" si="49"/>
        <v>0</v>
      </c>
      <c r="J316" s="31">
        <f>SUM(D316:I316)</f>
        <v>9504.869999999999</v>
      </c>
      <c r="K316" s="8"/>
      <c r="L316" s="8"/>
    </row>
    <row r="317" spans="1:12" ht="15.75" thickTop="1">
      <c r="A317" s="8"/>
      <c r="B317" s="8"/>
      <c r="C317" s="8"/>
      <c r="D317" s="20"/>
      <c r="E317" s="20"/>
      <c r="F317" s="15"/>
      <c r="G317" s="15"/>
      <c r="H317" s="15"/>
      <c r="I317" s="15"/>
      <c r="J317" s="20"/>
      <c r="K317" s="8"/>
      <c r="L317" s="8"/>
    </row>
    <row r="318" spans="1:12">
      <c r="A318" s="8"/>
      <c r="B318" s="8"/>
      <c r="C318" s="8"/>
      <c r="D318" s="20"/>
      <c r="E318" s="20"/>
      <c r="F318" s="15"/>
      <c r="G318" s="15"/>
      <c r="H318" s="15"/>
      <c r="I318" s="15"/>
      <c r="J318" s="20"/>
      <c r="K318" s="8"/>
      <c r="L318" s="8"/>
    </row>
    <row r="319" spans="1:12">
      <c r="A319" s="8">
        <v>70</v>
      </c>
      <c r="B319" s="8" t="s">
        <v>65</v>
      </c>
      <c r="C319" s="8" t="s">
        <v>12</v>
      </c>
      <c r="D319" s="25">
        <f>5950.14+1144.78</f>
        <v>7094.92</v>
      </c>
      <c r="E319" s="45">
        <v>132.93</v>
      </c>
      <c r="F319" s="24">
        <v>106.47</v>
      </c>
      <c r="G319" s="24">
        <v>0</v>
      </c>
      <c r="H319" s="24">
        <v>0</v>
      </c>
      <c r="I319" s="24">
        <v>0</v>
      </c>
      <c r="J319" s="25">
        <f>SUM(D319:I319)</f>
        <v>7334.3200000000006</v>
      </c>
      <c r="K319" s="8"/>
      <c r="L319" s="8"/>
    </row>
    <row r="320" spans="1:12" ht="15.75" hidden="1" thickBot="1">
      <c r="A320" s="8"/>
      <c r="B320" s="8"/>
      <c r="C320" s="8" t="s">
        <v>78</v>
      </c>
      <c r="D320" s="29"/>
      <c r="E320" s="34"/>
      <c r="F320" s="28"/>
      <c r="G320" s="28"/>
      <c r="H320" s="28"/>
      <c r="I320" s="28"/>
      <c r="J320" s="29">
        <f>SUM(D320:I320)</f>
        <v>0</v>
      </c>
      <c r="K320" s="8"/>
      <c r="L320" s="8"/>
    </row>
    <row r="321" spans="1:12">
      <c r="A321" s="8"/>
      <c r="B321" s="8"/>
      <c r="C321" s="8"/>
      <c r="D321" s="20"/>
      <c r="E321" s="35"/>
      <c r="F321" s="15"/>
      <c r="G321" s="15"/>
      <c r="H321" s="15"/>
      <c r="I321" s="15"/>
      <c r="J321" s="20"/>
      <c r="K321" s="8"/>
      <c r="L321" s="8"/>
    </row>
    <row r="322" spans="1:12" ht="15.75" thickBot="1">
      <c r="A322" s="8"/>
      <c r="B322" s="8"/>
      <c r="C322" s="8" t="s">
        <v>10</v>
      </c>
      <c r="D322" s="31">
        <f t="shared" ref="D322:I322" si="50">SUM(D319:D321)</f>
        <v>7094.92</v>
      </c>
      <c r="E322" s="44">
        <f t="shared" si="50"/>
        <v>132.93</v>
      </c>
      <c r="F322" s="30">
        <f t="shared" si="50"/>
        <v>106.47</v>
      </c>
      <c r="G322" s="30">
        <f t="shared" si="50"/>
        <v>0</v>
      </c>
      <c r="H322" s="30">
        <f t="shared" si="50"/>
        <v>0</v>
      </c>
      <c r="I322" s="30">
        <f t="shared" si="50"/>
        <v>0</v>
      </c>
      <c r="J322" s="31">
        <f>SUM(D322:I322)</f>
        <v>7334.3200000000006</v>
      </c>
      <c r="K322" s="8"/>
      <c r="L322" s="8"/>
    </row>
    <row r="323" spans="1:12" ht="15.75" thickTop="1">
      <c r="A323" s="8"/>
      <c r="B323" s="8"/>
      <c r="C323" s="8"/>
      <c r="D323" s="20"/>
      <c r="E323" s="20"/>
      <c r="F323" s="15"/>
      <c r="G323" s="15"/>
      <c r="H323" s="15"/>
      <c r="I323" s="15"/>
      <c r="J323" s="20"/>
      <c r="K323" s="8"/>
      <c r="L323" s="8"/>
    </row>
    <row r="324" spans="1:12">
      <c r="A324" s="8"/>
      <c r="B324" s="8"/>
      <c r="C324" s="8" t="s">
        <v>66</v>
      </c>
      <c r="D324" s="20">
        <f t="shared" ref="D324:I324" si="51">SUM(D9:D322)/2</f>
        <v>950707.24999999953</v>
      </c>
      <c r="E324" s="20">
        <f t="shared" si="51"/>
        <v>11591.87</v>
      </c>
      <c r="F324" s="15">
        <f t="shared" si="51"/>
        <v>4784.0099999999984</v>
      </c>
      <c r="G324" s="15">
        <f t="shared" si="51"/>
        <v>0</v>
      </c>
      <c r="H324" s="15">
        <f t="shared" si="51"/>
        <v>0</v>
      </c>
      <c r="I324" s="15">
        <f t="shared" si="51"/>
        <v>0</v>
      </c>
      <c r="J324" s="20">
        <f>SUM(D324:I324)</f>
        <v>967083.12999999954</v>
      </c>
      <c r="K324" s="8"/>
      <c r="L324" s="8"/>
    </row>
    <row r="325" spans="1:12">
      <c r="A325" s="8"/>
      <c r="B325" s="8"/>
      <c r="C325" s="8"/>
      <c r="D325" s="20"/>
      <c r="E325" s="20"/>
      <c r="F325" s="15"/>
      <c r="G325" s="8"/>
      <c r="H325" s="8"/>
      <c r="I325" s="8"/>
      <c r="J325" s="20"/>
      <c r="K325" s="8"/>
      <c r="L325" s="8"/>
    </row>
    <row r="326" spans="1:12">
      <c r="A326" s="8"/>
      <c r="B326" s="8"/>
      <c r="C326" s="8"/>
      <c r="D326" s="20"/>
      <c r="E326" s="20"/>
      <c r="F326" s="8"/>
      <c r="G326" s="8"/>
      <c r="H326" s="8"/>
      <c r="I326" s="8"/>
      <c r="J326" s="20"/>
      <c r="K326" s="8"/>
      <c r="L326" s="8"/>
    </row>
  </sheetData>
  <pageMargins left="0.25" right="0.25" top="0.25" bottom="0.25" header="0.5" footer="0.5"/>
  <pageSetup scale="70" fitToHeight="50" orientation="landscape" r:id="rId1"/>
  <headerFooter alignWithMargins="0"/>
  <rowBreaks count="51" manualBreakCount="51">
    <brk id="7" max="65535" man="1"/>
    <brk id="13" max="16383" man="1"/>
    <brk id="19" max="16383" man="1"/>
    <brk id="25" max="16383" man="1"/>
    <brk id="31" max="16383" man="1"/>
    <brk id="37" max="16383" man="1"/>
    <brk id="44" max="16383" man="1"/>
    <brk id="49" max="65535" man="1"/>
    <brk id="57" max="16383" man="1"/>
    <brk id="66" max="16383" man="1"/>
    <brk id="72" max="16383" man="1"/>
    <brk id="78" max="16383" man="1"/>
    <brk id="86" max="16383" man="1"/>
    <brk id="92" max="16383" man="1"/>
    <brk id="100" max="16383" man="1"/>
    <brk id="105" max="16383" man="1"/>
    <brk id="112" max="16383" man="1"/>
    <brk id="117" max="16383" man="1"/>
    <brk id="125" max="16383" man="1"/>
    <brk id="129" max="9" man="1"/>
    <brk id="135" max="16383" man="1"/>
    <brk id="142" max="16383" man="1"/>
    <brk id="148" max="16383" man="1"/>
    <brk id="156" max="16383" man="1"/>
    <brk id="161" max="9" man="1"/>
    <brk id="167" max="16383" man="1"/>
    <brk id="172" max="16383" man="1"/>
    <brk id="177" max="16383" man="1"/>
    <brk id="182" max="16383" man="1"/>
    <brk id="187" max="16383" man="1"/>
    <brk id="193" max="16383" man="1"/>
    <brk id="200" max="16383" man="1"/>
    <brk id="206" max="16383" man="1"/>
    <brk id="214" max="16383" man="1"/>
    <brk id="220" max="16383" man="1"/>
    <brk id="226" max="16383" man="1"/>
    <brk id="232" max="16383" man="1"/>
    <brk id="240" max="16383" man="1"/>
    <brk id="246" max="16383" man="1"/>
    <brk id="252" max="16383" man="1"/>
    <brk id="261" max="16383" man="1"/>
    <brk id="268" max="16383" man="1"/>
    <brk id="274" max="16383" man="1"/>
    <brk id="280" max="16383" man="1"/>
    <brk id="285" max="16383" man="1"/>
    <brk id="291" max="16383" man="1"/>
    <brk id="299" max="16383" man="1"/>
    <brk id="305" max="16383" man="1"/>
    <brk id="311" max="16383" man="1"/>
    <brk id="317" max="16383" man="1"/>
    <brk id="32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autoPageBreaks="0"/>
  </sheetPr>
  <dimension ref="A1:L327"/>
  <sheetViews>
    <sheetView showOutlineSymbols="0" defaultGridColor="0" view="pageBreakPreview" colorId="23" zoomScale="60" zoomScaleNormal="75" workbookViewId="0">
      <selection activeCell="D322" sqref="D322"/>
    </sheetView>
  </sheetViews>
  <sheetFormatPr defaultColWidth="9.6640625" defaultRowHeight="15"/>
  <cols>
    <col min="1" max="1" width="9.6640625" style="10" customWidth="1"/>
    <col min="2" max="2" width="27.44140625" style="10" bestFit="1" customWidth="1"/>
    <col min="3" max="3" width="24.44140625" style="10" bestFit="1" customWidth="1"/>
    <col min="4" max="5" width="12.77734375" style="23" customWidth="1"/>
    <col min="6" max="6" width="12.6640625" style="10" customWidth="1"/>
    <col min="7" max="8" width="11.6640625" style="10" hidden="1" customWidth="1"/>
    <col min="9" max="9" width="9.6640625" style="10" hidden="1" customWidth="1"/>
    <col min="10" max="10" width="14.44140625" style="23" customWidth="1"/>
    <col min="11" max="16384" width="9.6640625" style="10"/>
  </cols>
  <sheetData>
    <row r="1" spans="1:12">
      <c r="A1" s="8"/>
      <c r="B1" s="8"/>
      <c r="C1" s="8"/>
      <c r="D1" s="20"/>
      <c r="E1" s="20"/>
      <c r="F1" s="8"/>
      <c r="G1" s="8"/>
      <c r="H1" s="8"/>
      <c r="I1" s="9"/>
      <c r="J1" s="20"/>
      <c r="K1" s="8"/>
      <c r="L1" s="8"/>
    </row>
    <row r="2" spans="1:12">
      <c r="A2" s="8"/>
      <c r="B2" s="8"/>
      <c r="C2" s="8"/>
      <c r="D2" s="20"/>
      <c r="E2" s="20"/>
      <c r="F2" s="8"/>
      <c r="G2" s="8"/>
      <c r="H2" s="8"/>
      <c r="I2" s="8"/>
      <c r="J2" s="20"/>
      <c r="K2" s="8"/>
      <c r="L2" s="8"/>
    </row>
    <row r="3" spans="1:12">
      <c r="A3" s="8"/>
      <c r="B3" s="8"/>
      <c r="C3" s="8"/>
      <c r="D3" s="20"/>
      <c r="E3" s="20"/>
      <c r="F3" s="8"/>
      <c r="G3" s="8"/>
      <c r="H3" s="8"/>
      <c r="I3" s="8"/>
      <c r="J3" s="20"/>
      <c r="K3" s="8"/>
      <c r="L3" s="8"/>
    </row>
    <row r="4" spans="1:12" ht="15.75">
      <c r="A4" s="8"/>
      <c r="B4" s="11" t="s">
        <v>1</v>
      </c>
      <c r="C4" s="9"/>
      <c r="D4" s="21"/>
      <c r="E4" s="21"/>
      <c r="F4" s="9"/>
      <c r="G4" s="9"/>
      <c r="H4" s="9"/>
      <c r="I4" s="9"/>
      <c r="J4" s="21"/>
      <c r="K4" s="8"/>
      <c r="L4" s="8"/>
    </row>
    <row r="5" spans="1:12" ht="15.75">
      <c r="A5" s="8"/>
      <c r="B5" s="11" t="s">
        <v>117</v>
      </c>
      <c r="C5" s="9"/>
      <c r="D5" s="21"/>
      <c r="E5" s="21"/>
      <c r="F5" s="9"/>
      <c r="G5" s="9"/>
      <c r="H5" s="9"/>
      <c r="I5" s="9"/>
      <c r="J5" s="21"/>
      <c r="K5" s="8"/>
      <c r="L5" s="8"/>
    </row>
    <row r="6" spans="1:12">
      <c r="A6" s="8"/>
      <c r="B6" s="8"/>
      <c r="C6" s="8"/>
      <c r="D6" s="20"/>
      <c r="E6" s="20"/>
      <c r="F6" s="8"/>
      <c r="G6" s="8"/>
      <c r="H6" s="8"/>
      <c r="I6" s="8"/>
      <c r="J6" s="20"/>
      <c r="K6" s="8"/>
      <c r="L6" s="8"/>
    </row>
    <row r="7" spans="1:12">
      <c r="A7" s="8"/>
      <c r="B7" s="12" t="s">
        <v>3</v>
      </c>
      <c r="C7" s="12" t="s">
        <v>4</v>
      </c>
      <c r="D7" s="37">
        <v>2014</v>
      </c>
      <c r="E7" s="37">
        <v>2013</v>
      </c>
      <c r="F7" s="13">
        <v>2012</v>
      </c>
      <c r="G7" s="13">
        <v>2011</v>
      </c>
      <c r="H7" s="13">
        <v>2010</v>
      </c>
      <c r="I7" s="14">
        <v>2009</v>
      </c>
      <c r="J7" s="22" t="s">
        <v>10</v>
      </c>
      <c r="K7" s="8"/>
      <c r="L7" s="8"/>
    </row>
    <row r="8" spans="1:12">
      <c r="A8" s="8"/>
      <c r="B8" s="8"/>
      <c r="C8" s="8"/>
      <c r="D8" s="20"/>
      <c r="E8" s="20"/>
      <c r="F8" s="8"/>
      <c r="G8" s="8"/>
      <c r="H8" s="8"/>
      <c r="I8" s="8"/>
      <c r="J8" s="20"/>
      <c r="K8" s="8"/>
      <c r="L8" s="8"/>
    </row>
    <row r="9" spans="1:12">
      <c r="A9" s="8">
        <v>21</v>
      </c>
      <c r="B9" s="8" t="s">
        <v>11</v>
      </c>
      <c r="C9" s="8" t="s">
        <v>12</v>
      </c>
      <c r="D9" s="20">
        <f>12491.33+3736.79</f>
        <v>16228.119999999999</v>
      </c>
      <c r="E9" s="20">
        <v>189.15</v>
      </c>
      <c r="F9" s="15">
        <v>98.82</v>
      </c>
      <c r="G9" s="15">
        <v>0</v>
      </c>
      <c r="H9" s="15">
        <v>0</v>
      </c>
      <c r="I9" s="15">
        <v>0</v>
      </c>
      <c r="J9" s="20">
        <f>SUM(D9:I9)</f>
        <v>16516.09</v>
      </c>
      <c r="K9" s="8"/>
      <c r="L9" s="8"/>
    </row>
    <row r="10" spans="1:12" ht="15.75" thickBot="1">
      <c r="A10" s="8"/>
      <c r="B10" s="8"/>
      <c r="C10" s="8" t="s">
        <v>13</v>
      </c>
      <c r="D10" s="29">
        <f>300.84+90</f>
        <v>390.84</v>
      </c>
      <c r="E10" s="29">
        <v>5.84</v>
      </c>
      <c r="F10" s="28">
        <v>1.85</v>
      </c>
      <c r="G10" s="28">
        <v>0</v>
      </c>
      <c r="H10" s="28">
        <v>0</v>
      </c>
      <c r="I10" s="28">
        <v>0</v>
      </c>
      <c r="J10" s="29">
        <f>SUM(D10:I10)</f>
        <v>398.53</v>
      </c>
      <c r="K10" s="8"/>
      <c r="L10" s="8"/>
    </row>
    <row r="11" spans="1:12">
      <c r="A11" s="8"/>
      <c r="B11" s="8"/>
      <c r="C11" s="8"/>
      <c r="D11" s="20"/>
      <c r="E11" s="20"/>
      <c r="F11" s="15"/>
      <c r="G11" s="15"/>
      <c r="H11" s="15"/>
      <c r="I11" s="15"/>
      <c r="J11" s="20"/>
      <c r="K11" s="8"/>
      <c r="L11" s="8"/>
    </row>
    <row r="12" spans="1:12" ht="15.75" thickBot="1">
      <c r="A12" s="8"/>
      <c r="B12" s="8"/>
      <c r="C12" s="8" t="s">
        <v>10</v>
      </c>
      <c r="D12" s="31">
        <f t="shared" ref="D12:I12" si="0">SUM(D9:D10)</f>
        <v>16618.96</v>
      </c>
      <c r="E12" s="31">
        <f t="shared" si="0"/>
        <v>194.99</v>
      </c>
      <c r="F12" s="30">
        <f t="shared" si="0"/>
        <v>100.66999999999999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>SUM(D12:I12)</f>
        <v>16914.62</v>
      </c>
      <c r="K12" s="8"/>
      <c r="L12" s="8"/>
    </row>
    <row r="13" spans="1:12" ht="15.75" thickTop="1">
      <c r="A13" s="8"/>
      <c r="B13" s="8"/>
      <c r="C13" s="8"/>
      <c r="D13" s="20"/>
      <c r="E13" s="20"/>
      <c r="F13" s="15"/>
      <c r="G13" s="8"/>
      <c r="H13" s="8"/>
      <c r="I13" s="8"/>
      <c r="J13" s="20"/>
      <c r="K13" s="8"/>
      <c r="L13" s="8"/>
    </row>
    <row r="14" spans="1:12">
      <c r="A14" s="8"/>
      <c r="B14" s="8"/>
      <c r="C14" s="8"/>
      <c r="D14" s="20"/>
      <c r="E14" s="20"/>
      <c r="F14" s="15"/>
      <c r="G14" s="8"/>
      <c r="H14" s="8"/>
      <c r="I14" s="8"/>
      <c r="J14" s="20"/>
      <c r="K14" s="8"/>
      <c r="L14" s="8"/>
    </row>
    <row r="15" spans="1:12">
      <c r="A15" s="8">
        <v>22</v>
      </c>
      <c r="B15" s="8" t="s">
        <v>15</v>
      </c>
      <c r="C15" s="8" t="s">
        <v>12</v>
      </c>
      <c r="D15" s="20">
        <f>13164.13+3174.26</f>
        <v>16338.39</v>
      </c>
      <c r="E15" s="20">
        <v>146.65</v>
      </c>
      <c r="F15" s="15">
        <v>94.35</v>
      </c>
      <c r="G15" s="15">
        <v>0</v>
      </c>
      <c r="H15" s="15">
        <v>0</v>
      </c>
      <c r="I15" s="15">
        <v>0</v>
      </c>
      <c r="J15" s="20">
        <f>SUM(D15:I15)</f>
        <v>16579.39</v>
      </c>
      <c r="K15" s="8"/>
      <c r="L15" s="8"/>
    </row>
    <row r="16" spans="1:12" ht="15.75" thickBot="1">
      <c r="A16" s="8"/>
      <c r="B16" s="8"/>
      <c r="C16" s="8" t="s">
        <v>13</v>
      </c>
      <c r="D16" s="29">
        <f>314.48+75.83</f>
        <v>390.31</v>
      </c>
      <c r="E16" s="29">
        <v>3.75</v>
      </c>
      <c r="F16" s="28">
        <v>2.44</v>
      </c>
      <c r="G16" s="28">
        <v>0</v>
      </c>
      <c r="H16" s="28">
        <v>0</v>
      </c>
      <c r="I16" s="28">
        <v>0</v>
      </c>
      <c r="J16" s="29">
        <f>SUM(D16:I16)</f>
        <v>396.5</v>
      </c>
      <c r="K16" s="8"/>
      <c r="L16" s="8"/>
    </row>
    <row r="17" spans="1:12">
      <c r="A17" s="8"/>
      <c r="B17" s="8"/>
      <c r="C17" s="8"/>
      <c r="D17" s="20"/>
      <c r="E17" s="20"/>
      <c r="F17" s="15"/>
      <c r="G17" s="15"/>
      <c r="H17" s="15"/>
      <c r="I17" s="15"/>
      <c r="J17" s="20"/>
      <c r="K17" s="8"/>
      <c r="L17" s="8"/>
    </row>
    <row r="18" spans="1:12" ht="15.75" thickBot="1">
      <c r="A18" s="8"/>
      <c r="B18" s="8"/>
      <c r="C18" s="8" t="s">
        <v>10</v>
      </c>
      <c r="D18" s="31">
        <f t="shared" ref="D18:I18" si="1">SUM(D15:D16)</f>
        <v>16728.7</v>
      </c>
      <c r="E18" s="31">
        <f t="shared" si="1"/>
        <v>150.4</v>
      </c>
      <c r="F18" s="30">
        <f t="shared" si="1"/>
        <v>96.789999999999992</v>
      </c>
      <c r="G18" s="30">
        <f t="shared" si="1"/>
        <v>0</v>
      </c>
      <c r="H18" s="30">
        <f t="shared" si="1"/>
        <v>0</v>
      </c>
      <c r="I18" s="30">
        <f t="shared" si="1"/>
        <v>0</v>
      </c>
      <c r="J18" s="31">
        <f>SUM(D18:I18)</f>
        <v>16975.890000000003</v>
      </c>
      <c r="K18" s="8"/>
      <c r="L18" s="8"/>
    </row>
    <row r="19" spans="1:12" ht="15.75" thickTop="1">
      <c r="A19" s="8"/>
      <c r="B19" s="8"/>
      <c r="C19" s="8"/>
      <c r="D19" s="20"/>
      <c r="E19" s="20"/>
      <c r="F19" s="15"/>
      <c r="G19" s="15"/>
      <c r="H19" s="15"/>
      <c r="I19" s="15"/>
      <c r="J19" s="20"/>
      <c r="K19" s="8"/>
      <c r="L19" s="8"/>
    </row>
    <row r="20" spans="1:12">
      <c r="A20" s="8"/>
      <c r="B20" s="8"/>
      <c r="C20" s="8"/>
      <c r="D20" s="20"/>
      <c r="E20" s="20"/>
      <c r="F20" s="15"/>
      <c r="G20" s="15"/>
      <c r="H20" s="15"/>
      <c r="I20" s="15"/>
      <c r="J20" s="20"/>
      <c r="K20" s="8"/>
      <c r="L20" s="8"/>
    </row>
    <row r="21" spans="1:12">
      <c r="A21" s="8">
        <v>23</v>
      </c>
      <c r="B21" s="8" t="s">
        <v>16</v>
      </c>
      <c r="C21" s="8" t="s">
        <v>12</v>
      </c>
      <c r="D21" s="25">
        <f>12589.47+3168.65</f>
        <v>15758.119999999999</v>
      </c>
      <c r="E21" s="25">
        <v>443.22</v>
      </c>
      <c r="F21" s="24">
        <v>466.51</v>
      </c>
      <c r="G21" s="24">
        <v>0</v>
      </c>
      <c r="H21" s="24">
        <v>0</v>
      </c>
      <c r="I21" s="24">
        <v>0</v>
      </c>
      <c r="J21" s="25">
        <f>SUM(D21:I21)</f>
        <v>16667.849999999999</v>
      </c>
      <c r="K21" s="8"/>
      <c r="L21" s="8"/>
    </row>
    <row r="22" spans="1:12" ht="15.75" hidden="1" thickBot="1">
      <c r="A22" s="8"/>
      <c r="B22" s="8"/>
      <c r="C22" s="8" t="s">
        <v>13</v>
      </c>
      <c r="D22" s="29"/>
      <c r="E22" s="29"/>
      <c r="F22" s="28"/>
      <c r="G22" s="28"/>
      <c r="H22" s="28"/>
      <c r="I22" s="28"/>
      <c r="J22" s="29">
        <f>SUM(D22:I22)</f>
        <v>0</v>
      </c>
      <c r="K22" s="8"/>
      <c r="L22" s="8"/>
    </row>
    <row r="23" spans="1:12">
      <c r="A23" s="8"/>
      <c r="B23" s="8"/>
      <c r="C23" s="8"/>
      <c r="D23" s="20"/>
      <c r="E23" s="20"/>
      <c r="F23" s="15"/>
      <c r="G23" s="15"/>
      <c r="H23" s="15"/>
      <c r="I23" s="15"/>
      <c r="J23" s="20"/>
      <c r="K23" s="8"/>
      <c r="L23" s="8"/>
    </row>
    <row r="24" spans="1:12" ht="15.75" thickBot="1">
      <c r="A24" s="8"/>
      <c r="B24" s="8"/>
      <c r="C24" s="8" t="s">
        <v>10</v>
      </c>
      <c r="D24" s="31">
        <f t="shared" ref="D24:I24" si="2">SUM(D21:D22)</f>
        <v>15758.119999999999</v>
      </c>
      <c r="E24" s="31">
        <f t="shared" si="2"/>
        <v>443.22</v>
      </c>
      <c r="F24" s="30">
        <f t="shared" si="2"/>
        <v>466.51</v>
      </c>
      <c r="G24" s="30">
        <f t="shared" si="2"/>
        <v>0</v>
      </c>
      <c r="H24" s="30">
        <f t="shared" si="2"/>
        <v>0</v>
      </c>
      <c r="I24" s="30">
        <f t="shared" si="2"/>
        <v>0</v>
      </c>
      <c r="J24" s="31">
        <f>SUM(D24:I24)</f>
        <v>16667.849999999999</v>
      </c>
      <c r="K24" s="8"/>
      <c r="L24" s="8"/>
    </row>
    <row r="25" spans="1:12" ht="15.75" thickTop="1">
      <c r="A25" s="8"/>
      <c r="B25" s="8"/>
      <c r="C25" s="8"/>
      <c r="D25" s="20"/>
      <c r="E25" s="20"/>
      <c r="F25" s="15"/>
      <c r="G25" s="15"/>
      <c r="H25" s="15"/>
      <c r="I25" s="15"/>
      <c r="J25" s="20"/>
      <c r="K25" s="8"/>
      <c r="L25" s="8"/>
    </row>
    <row r="26" spans="1:12">
      <c r="A26" s="8"/>
      <c r="B26" s="8"/>
      <c r="C26" s="8"/>
      <c r="D26" s="20"/>
      <c r="E26" s="20"/>
      <c r="F26" s="15"/>
      <c r="G26" s="8"/>
      <c r="H26" s="8"/>
      <c r="I26" s="8"/>
      <c r="J26" s="20"/>
      <c r="K26" s="8"/>
      <c r="L26" s="8"/>
    </row>
    <row r="27" spans="1:12">
      <c r="A27" s="8"/>
      <c r="B27" s="8"/>
      <c r="C27" s="8"/>
      <c r="D27" s="20"/>
      <c r="E27" s="20"/>
      <c r="F27" s="15"/>
      <c r="G27" s="15"/>
      <c r="H27" s="15"/>
      <c r="I27" s="15"/>
      <c r="J27" s="20"/>
      <c r="K27" s="8"/>
      <c r="L27" s="8"/>
    </row>
    <row r="28" spans="1:12" ht="15.75" thickBot="1">
      <c r="A28" s="8">
        <v>24</v>
      </c>
      <c r="B28" s="8" t="s">
        <v>17</v>
      </c>
      <c r="C28" s="8" t="s">
        <v>12</v>
      </c>
      <c r="D28" s="29">
        <f>5816.81+1680.98</f>
        <v>7497.7900000000009</v>
      </c>
      <c r="E28" s="34">
        <v>0</v>
      </c>
      <c r="F28" s="28">
        <v>0</v>
      </c>
      <c r="G28" s="28">
        <v>0</v>
      </c>
      <c r="H28" s="28">
        <v>0</v>
      </c>
      <c r="I28" s="28">
        <v>0</v>
      </c>
      <c r="J28" s="29">
        <f>SUM(D28:I28)</f>
        <v>7497.7900000000009</v>
      </c>
      <c r="K28" s="8"/>
      <c r="L28" s="8"/>
    </row>
    <row r="29" spans="1:12">
      <c r="A29" s="8"/>
      <c r="B29" s="8"/>
      <c r="C29" s="8"/>
      <c r="D29" s="20"/>
      <c r="E29" s="35"/>
      <c r="F29" s="15"/>
      <c r="G29" s="15"/>
      <c r="H29" s="15"/>
      <c r="I29" s="15"/>
      <c r="J29" s="20"/>
      <c r="K29" s="8"/>
      <c r="L29" s="8"/>
    </row>
    <row r="30" spans="1:12" ht="15.75" thickBot="1">
      <c r="A30" s="8"/>
      <c r="B30" s="8"/>
      <c r="C30" s="8" t="s">
        <v>10</v>
      </c>
      <c r="D30" s="31">
        <f t="shared" ref="D30:I30" si="3">SUM(D28:D29)</f>
        <v>7497.7900000000009</v>
      </c>
      <c r="E30" s="44">
        <f t="shared" si="3"/>
        <v>0</v>
      </c>
      <c r="F30" s="30">
        <f t="shared" si="3"/>
        <v>0</v>
      </c>
      <c r="G30" s="30">
        <f t="shared" si="3"/>
        <v>0</v>
      </c>
      <c r="H30" s="30">
        <f t="shared" si="3"/>
        <v>0</v>
      </c>
      <c r="I30" s="30">
        <f t="shared" si="3"/>
        <v>0</v>
      </c>
      <c r="J30" s="31">
        <f>SUM(D30:I30)</f>
        <v>7497.7900000000009</v>
      </c>
      <c r="K30" s="8"/>
      <c r="L30" s="8"/>
    </row>
    <row r="31" spans="1:12" ht="15.75" thickTop="1">
      <c r="A31" s="8"/>
      <c r="B31" s="8"/>
      <c r="C31" s="8"/>
      <c r="D31" s="20"/>
      <c r="E31" s="35"/>
      <c r="F31" s="15"/>
      <c r="G31" s="15"/>
      <c r="H31" s="15"/>
      <c r="I31" s="15"/>
      <c r="J31" s="20"/>
      <c r="K31" s="8"/>
      <c r="L31" s="8"/>
    </row>
    <row r="32" spans="1:12">
      <c r="A32" s="8"/>
      <c r="B32" s="8"/>
      <c r="C32" s="8"/>
      <c r="D32" s="20"/>
      <c r="E32" s="35"/>
      <c r="F32" s="15"/>
      <c r="G32" s="8"/>
      <c r="H32" s="8"/>
      <c r="I32" s="8"/>
      <c r="J32" s="20"/>
      <c r="K32" s="8"/>
      <c r="L32" s="8"/>
    </row>
    <row r="33" spans="1:12">
      <c r="A33" s="8"/>
      <c r="B33" s="8"/>
      <c r="C33" s="8"/>
      <c r="D33" s="20"/>
      <c r="E33" s="35"/>
      <c r="F33" s="15"/>
      <c r="G33" s="15"/>
      <c r="H33" s="15"/>
      <c r="I33" s="15"/>
      <c r="J33" s="20"/>
      <c r="K33" s="8"/>
      <c r="L33" s="8"/>
    </row>
    <row r="34" spans="1:12" ht="15.75" thickBot="1">
      <c r="A34" s="8">
        <v>25</v>
      </c>
      <c r="B34" s="8" t="s">
        <v>18</v>
      </c>
      <c r="C34" s="8" t="s">
        <v>12</v>
      </c>
      <c r="D34" s="34">
        <v>0</v>
      </c>
      <c r="E34" s="34">
        <v>0</v>
      </c>
      <c r="F34" s="28">
        <v>0</v>
      </c>
      <c r="G34" s="28">
        <v>0</v>
      </c>
      <c r="H34" s="28">
        <v>0</v>
      </c>
      <c r="I34" s="28">
        <v>0</v>
      </c>
      <c r="J34" s="34">
        <f>SUM(D34:I34)</f>
        <v>0</v>
      </c>
      <c r="K34" s="8"/>
      <c r="L34" s="8"/>
    </row>
    <row r="35" spans="1:12">
      <c r="A35" s="8"/>
      <c r="B35" s="8"/>
      <c r="C35" s="8"/>
      <c r="D35" s="35"/>
      <c r="E35" s="35"/>
      <c r="F35" s="15"/>
      <c r="G35" s="15"/>
      <c r="H35" s="15"/>
      <c r="I35" s="15"/>
      <c r="J35" s="35"/>
      <c r="K35" s="8"/>
      <c r="L35" s="8"/>
    </row>
    <row r="36" spans="1:12" ht="15.75" thickBot="1">
      <c r="A36" s="8"/>
      <c r="B36" s="8"/>
      <c r="C36" s="8" t="s">
        <v>10</v>
      </c>
      <c r="D36" s="44">
        <f t="shared" ref="D36:I36" si="4">SUM(D34:D35)</f>
        <v>0</v>
      </c>
      <c r="E36" s="44">
        <f t="shared" si="4"/>
        <v>0</v>
      </c>
      <c r="F36" s="30">
        <f t="shared" si="4"/>
        <v>0</v>
      </c>
      <c r="G36" s="30">
        <f t="shared" si="4"/>
        <v>0</v>
      </c>
      <c r="H36" s="30">
        <f t="shared" si="4"/>
        <v>0</v>
      </c>
      <c r="I36" s="30">
        <f t="shared" si="4"/>
        <v>0</v>
      </c>
      <c r="J36" s="44">
        <f>SUM(D36:I36)</f>
        <v>0</v>
      </c>
      <c r="K36" s="8"/>
      <c r="L36" s="8"/>
    </row>
    <row r="37" spans="1:12" ht="15.75" thickTop="1">
      <c r="A37" s="8"/>
      <c r="B37" s="8"/>
      <c r="C37" s="8"/>
      <c r="D37" s="20"/>
      <c r="E37" s="20"/>
      <c r="F37" s="15"/>
      <c r="G37" s="8"/>
      <c r="H37" s="8"/>
      <c r="I37" s="8"/>
      <c r="J37" s="20"/>
      <c r="K37" s="8"/>
      <c r="L37" s="8"/>
    </row>
    <row r="38" spans="1:12">
      <c r="A38" s="8"/>
      <c r="B38" s="8"/>
      <c r="C38" s="8"/>
      <c r="D38" s="20"/>
      <c r="E38" s="20"/>
      <c r="F38" s="15"/>
      <c r="G38" s="15"/>
      <c r="H38" s="15"/>
      <c r="I38" s="15"/>
      <c r="J38" s="20"/>
      <c r="K38" s="8"/>
      <c r="L38" s="8"/>
    </row>
    <row r="39" spans="1:12">
      <c r="A39" s="8"/>
      <c r="B39" s="8"/>
      <c r="C39" s="8"/>
      <c r="D39" s="20"/>
      <c r="E39" s="20"/>
      <c r="F39" s="15"/>
      <c r="G39" s="15"/>
      <c r="H39" s="15"/>
      <c r="I39" s="15"/>
      <c r="J39" s="20"/>
      <c r="K39" s="8"/>
      <c r="L39" s="8"/>
    </row>
    <row r="40" spans="1:12">
      <c r="A40" s="8">
        <v>26</v>
      </c>
      <c r="B40" s="8" t="s">
        <v>19</v>
      </c>
      <c r="C40" s="8" t="s">
        <v>12</v>
      </c>
      <c r="D40" s="20">
        <f>9689.4+2778.22</f>
        <v>12467.619999999999</v>
      </c>
      <c r="E40" s="35">
        <v>17.93</v>
      </c>
      <c r="F40" s="15">
        <v>66.83</v>
      </c>
      <c r="G40" s="15">
        <v>0</v>
      </c>
      <c r="H40" s="15">
        <v>0</v>
      </c>
      <c r="I40" s="15">
        <v>0</v>
      </c>
      <c r="J40" s="20">
        <f>SUM(D40:I40)</f>
        <v>12552.38</v>
      </c>
      <c r="K40" s="8"/>
      <c r="L40" s="8"/>
    </row>
    <row r="41" spans="1:12" ht="15.75" thickBot="1">
      <c r="A41" s="8"/>
      <c r="B41" s="8"/>
      <c r="C41" s="8" t="s">
        <v>13</v>
      </c>
      <c r="D41" s="29">
        <v>0</v>
      </c>
      <c r="E41" s="34">
        <v>0.24</v>
      </c>
      <c r="F41" s="28">
        <v>0.93</v>
      </c>
      <c r="G41" s="28">
        <v>0</v>
      </c>
      <c r="H41" s="28">
        <v>0</v>
      </c>
      <c r="I41" s="28">
        <v>0</v>
      </c>
      <c r="J41" s="29">
        <f>SUM(D41:I41)</f>
        <v>1.17</v>
      </c>
      <c r="K41" s="8"/>
      <c r="L41" s="8"/>
    </row>
    <row r="42" spans="1:12">
      <c r="A42" s="8"/>
      <c r="B42" s="8"/>
      <c r="C42" s="8"/>
      <c r="D42" s="20"/>
      <c r="E42" s="35"/>
      <c r="F42" s="15"/>
      <c r="G42" s="15"/>
      <c r="H42" s="15"/>
      <c r="I42" s="15"/>
      <c r="J42" s="20"/>
      <c r="K42" s="8"/>
      <c r="L42" s="8"/>
    </row>
    <row r="43" spans="1:12" ht="15.75" thickBot="1">
      <c r="A43" s="8"/>
      <c r="B43" s="8"/>
      <c r="C43" s="8" t="s">
        <v>10</v>
      </c>
      <c r="D43" s="31">
        <f t="shared" ref="D43:I43" si="5">SUM(D40:D41)</f>
        <v>12467.619999999999</v>
      </c>
      <c r="E43" s="44">
        <f t="shared" si="5"/>
        <v>18.169999999999998</v>
      </c>
      <c r="F43" s="30">
        <f t="shared" si="5"/>
        <v>67.760000000000005</v>
      </c>
      <c r="G43" s="30">
        <f t="shared" si="5"/>
        <v>0</v>
      </c>
      <c r="H43" s="30">
        <f t="shared" si="5"/>
        <v>0</v>
      </c>
      <c r="I43" s="30">
        <f t="shared" si="5"/>
        <v>0</v>
      </c>
      <c r="J43" s="31">
        <f>SUM(D43:I43)</f>
        <v>12553.55</v>
      </c>
      <c r="K43" s="8"/>
      <c r="L43" s="8"/>
    </row>
    <row r="44" spans="1:12" ht="15.75" thickTop="1">
      <c r="A44" s="8"/>
      <c r="B44" s="8"/>
      <c r="C44" s="8"/>
      <c r="D44" s="20"/>
      <c r="E44" s="20"/>
      <c r="F44" s="15"/>
      <c r="G44" s="15"/>
      <c r="H44" s="15"/>
      <c r="I44" s="15"/>
      <c r="J44" s="20"/>
      <c r="K44" s="8"/>
      <c r="L44" s="8"/>
    </row>
    <row r="45" spans="1:12">
      <c r="A45" s="8"/>
      <c r="B45" s="8"/>
      <c r="C45" s="8"/>
      <c r="D45" s="20"/>
      <c r="E45" s="20"/>
      <c r="F45" s="15"/>
      <c r="G45" s="15"/>
      <c r="H45" s="15"/>
      <c r="I45" s="15"/>
      <c r="J45" s="20"/>
      <c r="K45" s="8"/>
      <c r="L45" s="8"/>
    </row>
    <row r="46" spans="1:12" ht="15.75" thickBot="1">
      <c r="A46" s="8">
        <v>27</v>
      </c>
      <c r="B46" s="8" t="s">
        <v>20</v>
      </c>
      <c r="C46" s="8" t="s">
        <v>12</v>
      </c>
      <c r="D46" s="29">
        <f>15895.14+3920.04</f>
        <v>19815.18</v>
      </c>
      <c r="E46" s="29">
        <v>201.5</v>
      </c>
      <c r="F46" s="28">
        <v>255.62</v>
      </c>
      <c r="G46" s="28">
        <v>0</v>
      </c>
      <c r="H46" s="28">
        <v>0</v>
      </c>
      <c r="I46" s="28">
        <v>0</v>
      </c>
      <c r="J46" s="29">
        <f>SUM(D46:I46)</f>
        <v>20272.3</v>
      </c>
      <c r="K46" s="8"/>
      <c r="L46" s="8"/>
    </row>
    <row r="47" spans="1:12">
      <c r="A47" s="8"/>
      <c r="B47" s="8"/>
      <c r="C47" s="8"/>
      <c r="D47" s="20"/>
      <c r="E47" s="20"/>
      <c r="F47" s="15"/>
      <c r="G47" s="15"/>
      <c r="H47" s="15"/>
      <c r="I47" s="15"/>
      <c r="J47" s="20"/>
      <c r="K47" s="8"/>
      <c r="L47" s="8"/>
    </row>
    <row r="48" spans="1:12" ht="15.75" thickBot="1">
      <c r="A48" s="8"/>
      <c r="B48" s="8"/>
      <c r="C48" s="8" t="s">
        <v>10</v>
      </c>
      <c r="D48" s="31">
        <f t="shared" ref="D48:I48" si="6">SUM(D46:D47)</f>
        <v>19815.18</v>
      </c>
      <c r="E48" s="31">
        <f t="shared" si="6"/>
        <v>201.5</v>
      </c>
      <c r="F48" s="30">
        <f t="shared" si="6"/>
        <v>255.62</v>
      </c>
      <c r="G48" s="30">
        <f t="shared" si="6"/>
        <v>0</v>
      </c>
      <c r="H48" s="30">
        <f t="shared" si="6"/>
        <v>0</v>
      </c>
      <c r="I48" s="30">
        <f t="shared" si="6"/>
        <v>0</v>
      </c>
      <c r="J48" s="31">
        <f>SUM(D48:I48)</f>
        <v>20272.3</v>
      </c>
      <c r="K48" s="8"/>
      <c r="L48" s="8"/>
    </row>
    <row r="49" spans="1:12" ht="15.75" thickTop="1">
      <c r="A49" s="8"/>
      <c r="B49" s="8"/>
      <c r="C49" s="8"/>
      <c r="D49" s="20"/>
      <c r="E49" s="20"/>
      <c r="F49" s="15"/>
      <c r="G49" s="8"/>
      <c r="H49" s="8"/>
      <c r="I49" s="8"/>
      <c r="J49" s="20"/>
      <c r="K49" s="8"/>
      <c r="L49" s="8"/>
    </row>
    <row r="50" spans="1:12">
      <c r="A50" s="8"/>
      <c r="B50" s="8"/>
      <c r="C50" s="8"/>
      <c r="D50" s="20"/>
      <c r="E50" s="20"/>
      <c r="F50" s="15"/>
      <c r="G50" s="8"/>
      <c r="H50" s="8"/>
      <c r="I50" s="8"/>
      <c r="J50" s="20"/>
      <c r="K50" s="8"/>
      <c r="L50" s="8"/>
    </row>
    <row r="51" spans="1:12">
      <c r="A51" s="8"/>
      <c r="B51" s="8"/>
      <c r="C51" s="8"/>
      <c r="D51" s="20"/>
      <c r="E51" s="20"/>
      <c r="F51" s="15"/>
      <c r="G51" s="15"/>
      <c r="H51" s="15"/>
      <c r="I51" s="15"/>
      <c r="J51" s="20"/>
      <c r="K51" s="8"/>
      <c r="L51" s="8"/>
    </row>
    <row r="52" spans="1:12">
      <c r="A52" s="8"/>
      <c r="B52" s="8"/>
      <c r="C52" s="8"/>
      <c r="D52" s="20"/>
      <c r="E52" s="20"/>
      <c r="F52" s="15"/>
      <c r="G52" s="15"/>
      <c r="H52" s="15"/>
      <c r="I52" s="15"/>
      <c r="J52" s="20"/>
      <c r="K52" s="8"/>
      <c r="L52" s="8"/>
    </row>
    <row r="53" spans="1:12">
      <c r="A53" s="8">
        <v>28</v>
      </c>
      <c r="B53" s="8" t="s">
        <v>21</v>
      </c>
      <c r="C53" s="8" t="s">
        <v>12</v>
      </c>
      <c r="D53" s="25">
        <f>12154.17+3039.28</f>
        <v>15193.45</v>
      </c>
      <c r="E53" s="25">
        <v>683.22</v>
      </c>
      <c r="F53" s="24">
        <v>257.79000000000002</v>
      </c>
      <c r="G53" s="24">
        <v>0</v>
      </c>
      <c r="H53" s="24">
        <v>0</v>
      </c>
      <c r="I53" s="24">
        <v>0</v>
      </c>
      <c r="J53" s="25">
        <f>SUM(D53:I53)</f>
        <v>16134.460000000001</v>
      </c>
      <c r="K53" s="8"/>
      <c r="L53" s="8"/>
    </row>
    <row r="54" spans="1:12" ht="15.75" hidden="1" thickBot="1">
      <c r="A54" s="8"/>
      <c r="B54" s="8"/>
      <c r="C54" s="8" t="s">
        <v>13</v>
      </c>
      <c r="D54" s="29"/>
      <c r="E54" s="29"/>
      <c r="F54" s="28"/>
      <c r="G54" s="28"/>
      <c r="H54" s="28"/>
      <c r="I54" s="28"/>
      <c r="J54" s="29">
        <f>SUM(D54:I54)</f>
        <v>0</v>
      </c>
      <c r="K54" s="8"/>
      <c r="L54" s="8"/>
    </row>
    <row r="55" spans="1:12">
      <c r="A55" s="8"/>
      <c r="B55" s="8"/>
      <c r="C55" s="8"/>
      <c r="D55" s="20"/>
      <c r="E55" s="20"/>
      <c r="F55" s="15"/>
      <c r="G55" s="15"/>
      <c r="H55" s="15"/>
      <c r="I55" s="15"/>
      <c r="J55" s="20"/>
      <c r="K55" s="8"/>
      <c r="L55" s="8"/>
    </row>
    <row r="56" spans="1:12" ht="15.75" thickBot="1">
      <c r="A56" s="8"/>
      <c r="B56" s="8"/>
      <c r="C56" s="8" t="s">
        <v>10</v>
      </c>
      <c r="D56" s="31">
        <f t="shared" ref="D56:I56" si="7">SUM(D53:D54)</f>
        <v>15193.45</v>
      </c>
      <c r="E56" s="31">
        <f t="shared" si="7"/>
        <v>683.22</v>
      </c>
      <c r="F56" s="30">
        <f t="shared" si="7"/>
        <v>257.79000000000002</v>
      </c>
      <c r="G56" s="30">
        <f t="shared" si="7"/>
        <v>0</v>
      </c>
      <c r="H56" s="30">
        <f t="shared" si="7"/>
        <v>0</v>
      </c>
      <c r="I56" s="30">
        <f t="shared" si="7"/>
        <v>0</v>
      </c>
      <c r="J56" s="31">
        <f>SUM(D56:I56)</f>
        <v>16134.460000000001</v>
      </c>
      <c r="K56" s="8"/>
      <c r="L56" s="8"/>
    </row>
    <row r="57" spans="1:12" ht="15.75" thickTop="1">
      <c r="A57" s="8"/>
      <c r="B57" s="8"/>
      <c r="C57" s="8"/>
      <c r="D57" s="20"/>
      <c r="E57" s="20"/>
      <c r="F57" s="15"/>
      <c r="G57" s="15"/>
      <c r="H57" s="15"/>
      <c r="I57" s="15"/>
      <c r="J57" s="20"/>
      <c r="K57" s="8"/>
      <c r="L57" s="8"/>
    </row>
    <row r="58" spans="1:12">
      <c r="A58" s="8"/>
      <c r="B58" s="8"/>
      <c r="C58" s="8"/>
      <c r="D58" s="20"/>
      <c r="E58" s="20"/>
      <c r="F58" s="15"/>
      <c r="G58" s="15"/>
      <c r="H58" s="15"/>
      <c r="I58" s="15"/>
      <c r="J58" s="20"/>
      <c r="K58" s="8"/>
      <c r="L58" s="8"/>
    </row>
    <row r="59" spans="1:12">
      <c r="A59" s="8">
        <v>29</v>
      </c>
      <c r="B59" s="8" t="s">
        <v>22</v>
      </c>
      <c r="C59" s="8" t="s">
        <v>12</v>
      </c>
      <c r="D59" s="20">
        <f>10705.24+4400.98</f>
        <v>15106.22</v>
      </c>
      <c r="E59" s="35">
        <v>0</v>
      </c>
      <c r="F59" s="15">
        <v>0</v>
      </c>
      <c r="G59" s="15">
        <v>0</v>
      </c>
      <c r="H59" s="15">
        <v>0</v>
      </c>
      <c r="I59" s="15">
        <v>0</v>
      </c>
      <c r="J59" s="20">
        <f>SUM(D59:I59)</f>
        <v>15106.22</v>
      </c>
      <c r="K59" s="8"/>
      <c r="L59" s="8"/>
    </row>
    <row r="60" spans="1:12">
      <c r="A60" s="8"/>
      <c r="B60" s="8"/>
      <c r="C60" s="8" t="s">
        <v>35</v>
      </c>
      <c r="D60" s="20">
        <f>594.74+244.5</f>
        <v>839.24</v>
      </c>
      <c r="E60" s="35">
        <v>0</v>
      </c>
      <c r="F60" s="15">
        <v>0</v>
      </c>
      <c r="G60" s="15">
        <v>0</v>
      </c>
      <c r="H60" s="15">
        <v>0</v>
      </c>
      <c r="I60" s="15">
        <v>0</v>
      </c>
      <c r="J60" s="20">
        <f>SUM(D60:I60)</f>
        <v>839.24</v>
      </c>
      <c r="K60" s="8"/>
      <c r="L60" s="8"/>
    </row>
    <row r="61" spans="1:12">
      <c r="A61" s="8"/>
      <c r="B61" s="8"/>
      <c r="C61" s="8" t="s">
        <v>13</v>
      </c>
      <c r="D61" s="20">
        <f>243.86+100.24</f>
        <v>344.1</v>
      </c>
      <c r="E61" s="35">
        <v>0</v>
      </c>
      <c r="F61" s="15">
        <v>0</v>
      </c>
      <c r="G61" s="15">
        <v>0</v>
      </c>
      <c r="H61" s="15">
        <v>0</v>
      </c>
      <c r="I61" s="15">
        <v>0</v>
      </c>
      <c r="J61" s="20">
        <f>SUM(D61:I61)</f>
        <v>344.1</v>
      </c>
      <c r="K61" s="8"/>
      <c r="L61" s="8"/>
    </row>
    <row r="62" spans="1:12">
      <c r="A62" s="8"/>
      <c r="B62" s="8"/>
      <c r="C62" s="8" t="s">
        <v>78</v>
      </c>
      <c r="D62" s="20">
        <f>1623.42+667.48</f>
        <v>2290.9</v>
      </c>
      <c r="E62" s="35">
        <v>0</v>
      </c>
      <c r="F62" s="15">
        <v>0</v>
      </c>
      <c r="G62" s="15">
        <v>0</v>
      </c>
      <c r="H62" s="15">
        <v>0</v>
      </c>
      <c r="I62" s="15">
        <v>0</v>
      </c>
      <c r="J62" s="20">
        <f>SUM(D62:I62)</f>
        <v>2290.9</v>
      </c>
      <c r="K62" s="8"/>
      <c r="L62" s="8"/>
    </row>
    <row r="63" spans="1:12" ht="15.75" thickBot="1">
      <c r="A63" s="8"/>
      <c r="B63" s="8"/>
      <c r="C63" s="38" t="s">
        <v>114</v>
      </c>
      <c r="D63" s="29">
        <f>5942.32+2442.54</f>
        <v>8384.86</v>
      </c>
      <c r="E63" s="34">
        <v>0</v>
      </c>
      <c r="F63" s="28">
        <v>0</v>
      </c>
      <c r="G63" s="28">
        <v>0</v>
      </c>
      <c r="H63" s="28">
        <v>0</v>
      </c>
      <c r="I63" s="28">
        <v>0</v>
      </c>
      <c r="J63" s="29">
        <f>SUM(D63:I63)</f>
        <v>8384.86</v>
      </c>
      <c r="K63" s="8"/>
      <c r="L63" s="8"/>
    </row>
    <row r="64" spans="1:12">
      <c r="A64" s="8"/>
      <c r="B64" s="8"/>
      <c r="C64" s="8"/>
      <c r="D64" s="20"/>
      <c r="E64" s="35"/>
      <c r="F64" s="15"/>
      <c r="G64" s="15"/>
      <c r="H64" s="15"/>
      <c r="I64" s="15"/>
      <c r="J64" s="20"/>
      <c r="K64" s="8"/>
      <c r="L64" s="8"/>
    </row>
    <row r="65" spans="1:12" ht="15.75" thickBot="1">
      <c r="A65" s="8"/>
      <c r="B65" s="8"/>
      <c r="C65" s="8" t="s">
        <v>10</v>
      </c>
      <c r="D65" s="31">
        <f t="shared" ref="D65:I65" si="8">SUM(D59:D63)</f>
        <v>26965.32</v>
      </c>
      <c r="E65" s="44">
        <f t="shared" si="8"/>
        <v>0</v>
      </c>
      <c r="F65" s="30">
        <f t="shared" si="8"/>
        <v>0</v>
      </c>
      <c r="G65" s="30">
        <f t="shared" si="8"/>
        <v>0</v>
      </c>
      <c r="H65" s="30">
        <f t="shared" si="8"/>
        <v>0</v>
      </c>
      <c r="I65" s="30">
        <f t="shared" si="8"/>
        <v>0</v>
      </c>
      <c r="J65" s="31">
        <f>SUM(D65:I65)</f>
        <v>26965.32</v>
      </c>
      <c r="K65" s="8"/>
      <c r="L65" s="8"/>
    </row>
    <row r="66" spans="1:12" ht="15.75" thickTop="1">
      <c r="A66" s="8"/>
      <c r="B66" s="8"/>
      <c r="C66" s="8"/>
      <c r="D66" s="20"/>
      <c r="E66" s="20"/>
      <c r="F66" s="15"/>
      <c r="G66" s="15"/>
      <c r="H66" s="15"/>
      <c r="I66" s="15"/>
      <c r="J66" s="20"/>
      <c r="K66" s="8"/>
      <c r="L66" s="8"/>
    </row>
    <row r="67" spans="1:12">
      <c r="A67" s="8"/>
      <c r="B67" s="8"/>
      <c r="C67" s="8"/>
      <c r="D67" s="20"/>
      <c r="E67" s="20"/>
      <c r="F67" s="15"/>
      <c r="G67" s="15"/>
      <c r="H67" s="15"/>
      <c r="I67" s="15"/>
      <c r="J67" s="20"/>
      <c r="K67" s="8"/>
      <c r="L67" s="8"/>
    </row>
    <row r="68" spans="1:12">
      <c r="A68" s="8">
        <v>30</v>
      </c>
      <c r="B68" s="8" t="s">
        <v>23</v>
      </c>
      <c r="C68" s="8" t="s">
        <v>12</v>
      </c>
      <c r="D68" s="20">
        <f>7799.61+1960.55</f>
        <v>9760.16</v>
      </c>
      <c r="E68" s="20">
        <v>44.07</v>
      </c>
      <c r="F68" s="15">
        <v>43.84</v>
      </c>
      <c r="G68" s="15">
        <v>0</v>
      </c>
      <c r="H68" s="15">
        <v>0</v>
      </c>
      <c r="I68" s="15">
        <v>0</v>
      </c>
      <c r="J68" s="20">
        <f>SUM(D68:I68)</f>
        <v>9848.07</v>
      </c>
      <c r="K68" s="8"/>
      <c r="L68" s="8"/>
    </row>
    <row r="69" spans="1:12" ht="15.75" thickBot="1">
      <c r="A69" s="8"/>
      <c r="B69" s="8"/>
      <c r="C69" s="38" t="s">
        <v>116</v>
      </c>
      <c r="D69" s="29">
        <f>14654.61+3683.65</f>
        <v>18338.260000000002</v>
      </c>
      <c r="E69" s="29">
        <v>93.05</v>
      </c>
      <c r="F69" s="28">
        <v>0</v>
      </c>
      <c r="G69" s="28">
        <v>0</v>
      </c>
      <c r="H69" s="28">
        <v>0</v>
      </c>
      <c r="I69" s="28">
        <v>0</v>
      </c>
      <c r="J69" s="29">
        <f>SUM(D69:I69)</f>
        <v>18431.310000000001</v>
      </c>
      <c r="K69" s="8"/>
      <c r="L69" s="8"/>
    </row>
    <row r="70" spans="1:12">
      <c r="A70" s="8"/>
      <c r="B70" s="8"/>
      <c r="C70" s="8"/>
      <c r="D70" s="20"/>
      <c r="E70" s="20"/>
      <c r="F70" s="15"/>
      <c r="G70" s="15"/>
      <c r="H70" s="15"/>
      <c r="I70" s="15"/>
      <c r="J70" s="20"/>
      <c r="K70" s="8"/>
      <c r="L70" s="8"/>
    </row>
    <row r="71" spans="1:12" ht="15.75" thickBot="1">
      <c r="A71" s="8"/>
      <c r="B71" s="8"/>
      <c r="C71" s="15" t="s">
        <v>10</v>
      </c>
      <c r="D71" s="31">
        <f t="shared" ref="D71:I71" si="9">SUM(D68:D69)</f>
        <v>28098.420000000002</v>
      </c>
      <c r="E71" s="31">
        <f t="shared" si="9"/>
        <v>137.12</v>
      </c>
      <c r="F71" s="30">
        <f t="shared" si="9"/>
        <v>43.84</v>
      </c>
      <c r="G71" s="30">
        <f t="shared" si="9"/>
        <v>0</v>
      </c>
      <c r="H71" s="30">
        <f t="shared" si="9"/>
        <v>0</v>
      </c>
      <c r="I71" s="30">
        <f t="shared" si="9"/>
        <v>0</v>
      </c>
      <c r="J71" s="31">
        <f>SUM(D71:I71)</f>
        <v>28279.38</v>
      </c>
      <c r="K71" s="8"/>
      <c r="L71" s="8"/>
    </row>
    <row r="72" spans="1:12" ht="15.75" thickTop="1">
      <c r="A72" s="8"/>
      <c r="B72" s="8"/>
      <c r="C72" s="8"/>
      <c r="D72" s="20"/>
      <c r="E72" s="20"/>
      <c r="F72" s="15"/>
      <c r="G72" s="15"/>
      <c r="H72" s="15"/>
      <c r="I72" s="15"/>
      <c r="J72" s="20"/>
      <c r="K72" s="8"/>
      <c r="L72" s="8"/>
    </row>
    <row r="73" spans="1:12">
      <c r="A73" s="8"/>
      <c r="B73" s="8"/>
      <c r="C73" s="8"/>
      <c r="D73" s="20"/>
      <c r="E73" s="20"/>
      <c r="F73" s="15"/>
      <c r="G73" s="15"/>
      <c r="H73" s="15"/>
      <c r="I73" s="15"/>
      <c r="J73" s="20"/>
      <c r="K73" s="8"/>
      <c r="L73" s="8"/>
    </row>
    <row r="74" spans="1:12">
      <c r="A74" s="8">
        <v>31</v>
      </c>
      <c r="B74" s="8" t="s">
        <v>24</v>
      </c>
      <c r="C74" s="8" t="s">
        <v>12</v>
      </c>
      <c r="D74" s="20">
        <f>3579.39+901.03</f>
        <v>4480.42</v>
      </c>
      <c r="E74" s="20">
        <v>71.89</v>
      </c>
      <c r="F74" s="15">
        <v>40.44</v>
      </c>
      <c r="G74" s="15">
        <v>0</v>
      </c>
      <c r="H74" s="15">
        <v>0</v>
      </c>
      <c r="I74" s="15">
        <v>0</v>
      </c>
      <c r="J74" s="20">
        <f>SUM(D74:I74)</f>
        <v>4592.75</v>
      </c>
      <c r="K74" s="8"/>
      <c r="L74" s="8"/>
    </row>
    <row r="75" spans="1:12" ht="15.75" thickBot="1">
      <c r="A75" s="8"/>
      <c r="B75" s="8"/>
      <c r="C75" s="8" t="s">
        <v>13</v>
      </c>
      <c r="D75" s="29">
        <f>88.5+22.28</f>
        <v>110.78</v>
      </c>
      <c r="E75" s="29">
        <v>1.81</v>
      </c>
      <c r="F75" s="28">
        <v>1.02</v>
      </c>
      <c r="G75" s="28">
        <v>0</v>
      </c>
      <c r="H75" s="28">
        <v>0</v>
      </c>
      <c r="I75" s="28">
        <v>0</v>
      </c>
      <c r="J75" s="29">
        <f>SUM(D75:I75)</f>
        <v>113.61</v>
      </c>
      <c r="K75" s="8"/>
      <c r="L75" s="8"/>
    </row>
    <row r="76" spans="1:12">
      <c r="A76" s="8"/>
      <c r="B76" s="8"/>
      <c r="C76" s="8"/>
      <c r="D76" s="20"/>
      <c r="E76" s="20"/>
      <c r="F76" s="15"/>
      <c r="G76" s="15"/>
      <c r="H76" s="15"/>
      <c r="I76" s="15"/>
      <c r="J76" s="20"/>
      <c r="K76" s="8"/>
      <c r="L76" s="8"/>
    </row>
    <row r="77" spans="1:12" ht="15.75" thickBot="1">
      <c r="A77" s="8"/>
      <c r="B77" s="8"/>
      <c r="C77" s="8" t="s">
        <v>10</v>
      </c>
      <c r="D77" s="31">
        <f t="shared" ref="D77:I77" si="10">SUM(D74:D75)</f>
        <v>4591.2</v>
      </c>
      <c r="E77" s="31">
        <f t="shared" si="10"/>
        <v>73.7</v>
      </c>
      <c r="F77" s="30">
        <f t="shared" si="10"/>
        <v>41.46</v>
      </c>
      <c r="G77" s="30">
        <f t="shared" si="10"/>
        <v>0</v>
      </c>
      <c r="H77" s="30">
        <f t="shared" si="10"/>
        <v>0</v>
      </c>
      <c r="I77" s="30">
        <f t="shared" si="10"/>
        <v>0</v>
      </c>
      <c r="J77" s="31">
        <f>SUM(D77:I77)</f>
        <v>4706.3599999999997</v>
      </c>
      <c r="K77" s="8"/>
      <c r="L77" s="8"/>
    </row>
    <row r="78" spans="1:12" ht="15.75" thickTop="1">
      <c r="A78" s="8"/>
      <c r="B78" s="8"/>
      <c r="C78" s="8"/>
      <c r="D78" s="20"/>
      <c r="E78" s="20"/>
      <c r="F78" s="15"/>
      <c r="G78" s="15"/>
      <c r="H78" s="15"/>
      <c r="I78" s="15"/>
      <c r="J78" s="20"/>
      <c r="K78" s="8"/>
      <c r="L78" s="8"/>
    </row>
    <row r="79" spans="1:12">
      <c r="A79" s="8"/>
      <c r="B79" s="8"/>
      <c r="C79" s="8"/>
      <c r="D79" s="20"/>
      <c r="E79" s="20"/>
      <c r="F79" s="15"/>
      <c r="G79" s="15"/>
      <c r="H79" s="15"/>
      <c r="I79" s="15"/>
      <c r="J79" s="20"/>
      <c r="K79" s="8"/>
      <c r="L79" s="8"/>
    </row>
    <row r="80" spans="1:12">
      <c r="A80" s="8">
        <v>32</v>
      </c>
      <c r="B80" s="8" t="s">
        <v>25</v>
      </c>
      <c r="C80" s="8" t="s">
        <v>12</v>
      </c>
      <c r="D80" s="20">
        <f>14364.82+3767.68</f>
        <v>18132.5</v>
      </c>
      <c r="E80" s="20">
        <v>17.46</v>
      </c>
      <c r="F80" s="15">
        <v>3.19</v>
      </c>
      <c r="G80" s="15">
        <v>0</v>
      </c>
      <c r="H80" s="15">
        <v>0</v>
      </c>
      <c r="I80" s="15">
        <v>0</v>
      </c>
      <c r="J80" s="20">
        <f>SUM(D80:I80)</f>
        <v>18153.149999999998</v>
      </c>
      <c r="K80" s="8"/>
      <c r="L80" s="8"/>
    </row>
    <row r="81" spans="1:12">
      <c r="A81" s="8"/>
      <c r="B81" s="8"/>
      <c r="C81" s="8" t="s">
        <v>13</v>
      </c>
      <c r="D81" s="25">
        <f>356.52+93.51</f>
        <v>450.03</v>
      </c>
      <c r="E81" s="25">
        <v>0.45</v>
      </c>
      <c r="F81" s="24">
        <v>0.06</v>
      </c>
      <c r="G81" s="24">
        <v>0</v>
      </c>
      <c r="H81" s="24">
        <v>0</v>
      </c>
      <c r="I81" s="24">
        <v>0</v>
      </c>
      <c r="J81" s="25">
        <f>SUM(D81:I81)</f>
        <v>450.53999999999996</v>
      </c>
      <c r="K81" s="8"/>
      <c r="L81" s="8"/>
    </row>
    <row r="82" spans="1:12" hidden="1">
      <c r="A82" s="8"/>
      <c r="B82" s="8"/>
      <c r="C82" s="8" t="s">
        <v>73</v>
      </c>
      <c r="D82" s="20"/>
      <c r="E82" s="20"/>
      <c r="F82" s="26"/>
      <c r="G82" s="8"/>
      <c r="H82" s="26"/>
      <c r="I82" s="8"/>
      <c r="J82" s="20">
        <f>SUM(D82:I82)</f>
        <v>0</v>
      </c>
      <c r="K82" s="8"/>
      <c r="L82" s="8"/>
    </row>
    <row r="83" spans="1:12" ht="15.75" hidden="1" thickBot="1">
      <c r="A83" s="8"/>
      <c r="B83" s="8"/>
      <c r="C83" s="8" t="s">
        <v>78</v>
      </c>
      <c r="D83" s="29"/>
      <c r="E83" s="29"/>
      <c r="F83" s="33"/>
      <c r="G83" s="27"/>
      <c r="H83" s="27"/>
      <c r="I83" s="27"/>
      <c r="J83" s="29">
        <f>SUM(D83:I83)</f>
        <v>0</v>
      </c>
      <c r="K83" s="8"/>
      <c r="L83" s="8"/>
    </row>
    <row r="84" spans="1:12">
      <c r="A84" s="8"/>
      <c r="B84" s="8"/>
      <c r="C84" s="8"/>
      <c r="D84" s="20"/>
      <c r="E84" s="20"/>
      <c r="F84" s="15"/>
      <c r="G84" s="8"/>
      <c r="H84" s="8"/>
      <c r="I84" s="8"/>
      <c r="J84" s="20"/>
      <c r="K84" s="8"/>
      <c r="L84" s="8"/>
    </row>
    <row r="85" spans="1:12" ht="15.75" thickBot="1">
      <c r="A85" s="8"/>
      <c r="B85" s="8"/>
      <c r="C85" s="8" t="s">
        <v>10</v>
      </c>
      <c r="D85" s="31">
        <f t="shared" ref="D85:I85" si="11">SUM(D80:D83)</f>
        <v>18582.53</v>
      </c>
      <c r="E85" s="31">
        <f t="shared" si="11"/>
        <v>17.91</v>
      </c>
      <c r="F85" s="30">
        <f t="shared" si="11"/>
        <v>3.25</v>
      </c>
      <c r="G85" s="30">
        <f t="shared" si="11"/>
        <v>0</v>
      </c>
      <c r="H85" s="30">
        <f t="shared" si="11"/>
        <v>0</v>
      </c>
      <c r="I85" s="30">
        <f t="shared" si="11"/>
        <v>0</v>
      </c>
      <c r="J85" s="31">
        <f>SUM(D85:I85)</f>
        <v>18603.689999999999</v>
      </c>
      <c r="K85" s="8"/>
      <c r="L85" s="8"/>
    </row>
    <row r="86" spans="1:12" ht="15.75" thickTop="1">
      <c r="A86" s="8"/>
      <c r="B86" s="8"/>
      <c r="C86" s="8"/>
      <c r="D86" s="20"/>
      <c r="E86" s="20"/>
      <c r="F86" s="15"/>
      <c r="G86" s="15"/>
      <c r="H86" s="15"/>
      <c r="I86" s="15"/>
      <c r="J86" s="20"/>
      <c r="K86" s="8"/>
      <c r="L86" s="8"/>
    </row>
    <row r="87" spans="1:12">
      <c r="A87" s="8"/>
      <c r="B87" s="8"/>
      <c r="C87" s="8"/>
      <c r="D87" s="20"/>
      <c r="E87" s="20"/>
      <c r="F87" s="15"/>
      <c r="G87" s="15"/>
      <c r="H87" s="15"/>
      <c r="I87" s="15"/>
      <c r="J87" s="20"/>
      <c r="K87" s="8"/>
      <c r="L87" s="8"/>
    </row>
    <row r="88" spans="1:12">
      <c r="A88" s="8">
        <v>33</v>
      </c>
      <c r="B88" s="8" t="s">
        <v>26</v>
      </c>
      <c r="C88" s="8" t="s">
        <v>12</v>
      </c>
      <c r="D88" s="20">
        <f>17804.52+3836.5</f>
        <v>21641.02</v>
      </c>
      <c r="E88" s="20">
        <v>304.38</v>
      </c>
      <c r="F88" s="15">
        <v>2.02</v>
      </c>
      <c r="G88" s="15">
        <v>0</v>
      </c>
      <c r="H88" s="15">
        <v>0</v>
      </c>
      <c r="I88" s="15">
        <v>0</v>
      </c>
      <c r="J88" s="20">
        <f>SUM(D88:I88)</f>
        <v>21947.420000000002</v>
      </c>
      <c r="K88" s="8"/>
      <c r="L88" s="8"/>
    </row>
    <row r="89" spans="1:12" ht="15.75" thickBot="1">
      <c r="A89" s="8"/>
      <c r="B89" s="8"/>
      <c r="C89" s="8" t="s">
        <v>13</v>
      </c>
      <c r="D89" s="29">
        <f>282.34+60.84</f>
        <v>343.17999999999995</v>
      </c>
      <c r="E89" s="29">
        <v>4.87</v>
      </c>
      <c r="F89" s="28">
        <v>0.03</v>
      </c>
      <c r="G89" s="28">
        <v>0</v>
      </c>
      <c r="H89" s="28">
        <v>0</v>
      </c>
      <c r="I89" s="28">
        <v>0</v>
      </c>
      <c r="J89" s="29">
        <f>SUM(D89:I89)</f>
        <v>348.07999999999993</v>
      </c>
      <c r="K89" s="8"/>
      <c r="L89" s="8"/>
    </row>
    <row r="90" spans="1:12">
      <c r="A90" s="8"/>
      <c r="B90" s="8"/>
      <c r="C90" s="8"/>
      <c r="D90" s="20"/>
      <c r="E90" s="20"/>
      <c r="F90" s="15"/>
      <c r="G90" s="15"/>
      <c r="H90" s="15"/>
      <c r="I90" s="15"/>
      <c r="J90" s="20"/>
      <c r="K90" s="8"/>
      <c r="L90" s="8"/>
    </row>
    <row r="91" spans="1:12" ht="15.75" thickBot="1">
      <c r="A91" s="8"/>
      <c r="B91" s="8"/>
      <c r="C91" s="8" t="s">
        <v>10</v>
      </c>
      <c r="D91" s="31">
        <f t="shared" ref="D91:I91" si="12">SUM(D88:D89)</f>
        <v>21984.2</v>
      </c>
      <c r="E91" s="31">
        <f t="shared" si="12"/>
        <v>309.25</v>
      </c>
      <c r="F91" s="30">
        <f t="shared" si="12"/>
        <v>2.0499999999999998</v>
      </c>
      <c r="G91" s="30">
        <f t="shared" si="12"/>
        <v>0</v>
      </c>
      <c r="H91" s="30">
        <f t="shared" si="12"/>
        <v>0</v>
      </c>
      <c r="I91" s="30">
        <f t="shared" si="12"/>
        <v>0</v>
      </c>
      <c r="J91" s="31">
        <f>SUM(D91:I91)</f>
        <v>22295.5</v>
      </c>
      <c r="K91" s="8"/>
      <c r="L91" s="8"/>
    </row>
    <row r="92" spans="1:12" ht="15.75" thickTop="1">
      <c r="A92" s="8"/>
      <c r="B92" s="8"/>
      <c r="C92" s="8"/>
      <c r="D92" s="20"/>
      <c r="E92" s="20"/>
      <c r="F92" s="15"/>
      <c r="G92" s="15"/>
      <c r="H92" s="15"/>
      <c r="I92" s="15"/>
      <c r="J92" s="20"/>
      <c r="K92" s="8"/>
      <c r="L92" s="8"/>
    </row>
    <row r="93" spans="1:12">
      <c r="A93" s="8"/>
      <c r="B93" s="8"/>
      <c r="C93" s="8"/>
      <c r="D93" s="20"/>
      <c r="E93" s="20"/>
      <c r="F93" s="15"/>
      <c r="G93" s="15"/>
      <c r="H93" s="15"/>
      <c r="I93" s="15"/>
      <c r="J93" s="20"/>
      <c r="K93" s="8"/>
      <c r="L93" s="8"/>
    </row>
    <row r="94" spans="1:12">
      <c r="A94" s="8">
        <v>34</v>
      </c>
      <c r="B94" s="8" t="s">
        <v>27</v>
      </c>
      <c r="C94" s="8" t="s">
        <v>12</v>
      </c>
      <c r="D94" s="20">
        <f>24343.98+6936.73</f>
        <v>31280.71</v>
      </c>
      <c r="E94" s="20">
        <v>46.44</v>
      </c>
      <c r="F94" s="15">
        <v>250.42</v>
      </c>
      <c r="G94" s="15">
        <v>0</v>
      </c>
      <c r="H94" s="15">
        <v>0</v>
      </c>
      <c r="I94" s="15">
        <v>0</v>
      </c>
      <c r="J94" s="20">
        <f>SUM(D94:I94)</f>
        <v>31577.569999999996</v>
      </c>
      <c r="K94" s="8"/>
      <c r="L94" s="8"/>
    </row>
    <row r="95" spans="1:12">
      <c r="A95" s="8"/>
      <c r="B95" s="8"/>
      <c r="C95" s="8" t="s">
        <v>35</v>
      </c>
      <c r="D95" s="20">
        <f>676.22+192.69</f>
        <v>868.91000000000008</v>
      </c>
      <c r="E95" s="20">
        <v>1.29</v>
      </c>
      <c r="F95" s="15">
        <v>6.96</v>
      </c>
      <c r="G95" s="15">
        <v>0</v>
      </c>
      <c r="H95" s="15">
        <v>0</v>
      </c>
      <c r="I95" s="15">
        <v>0</v>
      </c>
      <c r="J95" s="20">
        <f>SUM(D95:I95)</f>
        <v>877.16000000000008</v>
      </c>
      <c r="K95" s="8"/>
      <c r="L95" s="8"/>
    </row>
    <row r="96" spans="1:12">
      <c r="A96" s="8"/>
      <c r="B96" s="8"/>
      <c r="C96" s="8" t="s">
        <v>13</v>
      </c>
      <c r="D96" s="20">
        <f>256.96+73.22</f>
        <v>330.17999999999995</v>
      </c>
      <c r="E96" s="20">
        <v>0.61</v>
      </c>
      <c r="F96" s="15">
        <v>2.99</v>
      </c>
      <c r="G96" s="15">
        <v>0</v>
      </c>
      <c r="H96" s="15">
        <v>0</v>
      </c>
      <c r="I96" s="15">
        <v>0</v>
      </c>
      <c r="J96" s="20">
        <f>SUM(D96:I96)</f>
        <v>333.78</v>
      </c>
      <c r="K96" s="8"/>
      <c r="L96" s="8"/>
    </row>
    <row r="97" spans="1:12" ht="15.75" thickBot="1">
      <c r="A97" s="8"/>
      <c r="B97" s="8"/>
      <c r="C97" s="8" t="s">
        <v>78</v>
      </c>
      <c r="D97" s="29">
        <f>1284.82+366.11</f>
        <v>1650.9299999999998</v>
      </c>
      <c r="E97" s="29">
        <v>2.79</v>
      </c>
      <c r="F97" s="28">
        <v>17.32</v>
      </c>
      <c r="G97" s="28">
        <v>0</v>
      </c>
      <c r="H97" s="28">
        <v>0</v>
      </c>
      <c r="I97" s="28">
        <v>0</v>
      </c>
      <c r="J97" s="29">
        <f>SUM(D97:I97)</f>
        <v>1671.0399999999997</v>
      </c>
      <c r="K97" s="8"/>
      <c r="L97" s="8"/>
    </row>
    <row r="98" spans="1:12">
      <c r="A98" s="8"/>
      <c r="B98" s="8"/>
      <c r="C98" s="8"/>
      <c r="D98" s="20"/>
      <c r="E98" s="20"/>
      <c r="F98" s="15"/>
      <c r="G98" s="15"/>
      <c r="H98" s="15"/>
      <c r="I98" s="15"/>
      <c r="J98" s="20"/>
      <c r="K98" s="8"/>
      <c r="L98" s="8"/>
    </row>
    <row r="99" spans="1:12" ht="15.75" thickBot="1">
      <c r="A99" s="8"/>
      <c r="B99" s="8"/>
      <c r="C99" s="8" t="s">
        <v>10</v>
      </c>
      <c r="D99" s="31">
        <f t="shared" ref="D99:I99" si="13">SUM(D94:D98)</f>
        <v>34130.729999999996</v>
      </c>
      <c r="E99" s="31">
        <f t="shared" si="13"/>
        <v>51.129999999999995</v>
      </c>
      <c r="F99" s="30">
        <f t="shared" si="13"/>
        <v>277.69</v>
      </c>
      <c r="G99" s="30">
        <f t="shared" si="13"/>
        <v>0</v>
      </c>
      <c r="H99" s="30">
        <f t="shared" si="13"/>
        <v>0</v>
      </c>
      <c r="I99" s="30">
        <f t="shared" si="13"/>
        <v>0</v>
      </c>
      <c r="J99" s="31">
        <f>SUM(D99:I99)</f>
        <v>34459.549999999996</v>
      </c>
      <c r="K99" s="8"/>
      <c r="L99" s="8"/>
    </row>
    <row r="100" spans="1:12" ht="15.75" thickTop="1">
      <c r="A100" s="8"/>
      <c r="B100" s="8"/>
      <c r="C100" s="8"/>
      <c r="D100" s="20"/>
      <c r="E100" s="20"/>
      <c r="F100" s="15"/>
      <c r="G100" s="15"/>
      <c r="H100" s="15"/>
      <c r="I100" s="15"/>
      <c r="J100" s="20"/>
      <c r="K100" s="8"/>
      <c r="L100" s="8"/>
    </row>
    <row r="101" spans="1:12">
      <c r="A101" s="8"/>
      <c r="B101" s="8"/>
      <c r="C101" s="8"/>
      <c r="D101" s="20"/>
      <c r="E101" s="20"/>
      <c r="F101" s="15"/>
      <c r="G101" s="15"/>
      <c r="H101" s="15"/>
      <c r="I101" s="15"/>
      <c r="J101" s="20"/>
      <c r="K101" s="8"/>
      <c r="L101" s="8"/>
    </row>
    <row r="102" spans="1:12">
      <c r="A102" s="8">
        <v>35</v>
      </c>
      <c r="B102" s="8" t="s">
        <v>28</v>
      </c>
      <c r="C102" s="8" t="s">
        <v>12</v>
      </c>
      <c r="D102" s="20">
        <f>9165.63+1976.8</f>
        <v>11142.429999999998</v>
      </c>
      <c r="E102" s="20">
        <v>0</v>
      </c>
      <c r="F102" s="15">
        <v>0</v>
      </c>
      <c r="G102" s="15">
        <v>0</v>
      </c>
      <c r="H102" s="15">
        <v>0</v>
      </c>
      <c r="I102" s="15">
        <v>0</v>
      </c>
      <c r="J102" s="20">
        <f>SUM(D102:I102)</f>
        <v>11142.429999999998</v>
      </c>
      <c r="K102" s="8"/>
      <c r="L102" s="8"/>
    </row>
    <row r="103" spans="1:12">
      <c r="A103" s="8"/>
      <c r="B103" s="8"/>
      <c r="C103" s="38" t="s">
        <v>116</v>
      </c>
      <c r="D103" s="46">
        <f>5692.87+1227.81</f>
        <v>6920.68</v>
      </c>
      <c r="E103" s="46">
        <v>0</v>
      </c>
      <c r="F103" s="47">
        <v>0</v>
      </c>
      <c r="G103" s="47"/>
      <c r="H103" s="47"/>
      <c r="I103" s="47"/>
      <c r="J103" s="46">
        <f>SUM(D103:I103)</f>
        <v>6920.68</v>
      </c>
      <c r="K103" s="8"/>
      <c r="L103" s="8"/>
    </row>
    <row r="104" spans="1:12">
      <c r="A104" s="8"/>
      <c r="B104" s="8"/>
      <c r="C104" s="8"/>
      <c r="D104" s="20"/>
      <c r="E104" s="20"/>
      <c r="F104" s="15"/>
      <c r="G104" s="15"/>
      <c r="H104" s="15"/>
      <c r="I104" s="15"/>
      <c r="J104" s="20"/>
      <c r="K104" s="8"/>
      <c r="L104" s="8"/>
    </row>
    <row r="105" spans="1:12" ht="15.75" thickBot="1">
      <c r="A105" s="8"/>
      <c r="B105" s="8"/>
      <c r="C105" s="8" t="s">
        <v>10</v>
      </c>
      <c r="D105" s="31">
        <f t="shared" ref="D105:I105" si="14">SUM(D102:D104)</f>
        <v>18063.11</v>
      </c>
      <c r="E105" s="31">
        <f t="shared" si="14"/>
        <v>0</v>
      </c>
      <c r="F105" s="30">
        <f t="shared" si="14"/>
        <v>0</v>
      </c>
      <c r="G105" s="30">
        <f t="shared" si="14"/>
        <v>0</v>
      </c>
      <c r="H105" s="30">
        <f t="shared" si="14"/>
        <v>0</v>
      </c>
      <c r="I105" s="30">
        <f t="shared" si="14"/>
        <v>0</v>
      </c>
      <c r="J105" s="31">
        <f>SUM(D105:I105)</f>
        <v>18063.11</v>
      </c>
      <c r="K105" s="8"/>
      <c r="L105" s="8"/>
    </row>
    <row r="106" spans="1:12" ht="15.75" thickTop="1">
      <c r="A106" s="8"/>
      <c r="B106" s="8"/>
      <c r="C106" s="8"/>
      <c r="D106" s="20"/>
      <c r="E106" s="20"/>
      <c r="F106" s="15"/>
      <c r="G106" s="15"/>
      <c r="H106" s="15"/>
      <c r="I106" s="15"/>
      <c r="J106" s="20"/>
      <c r="K106" s="8"/>
      <c r="L106" s="8"/>
    </row>
    <row r="107" spans="1:12">
      <c r="A107" s="8"/>
      <c r="B107" s="8"/>
      <c r="C107" s="8"/>
      <c r="D107" s="20"/>
      <c r="E107" s="20"/>
      <c r="F107" s="15"/>
      <c r="G107" s="15"/>
      <c r="H107" s="15"/>
      <c r="I107" s="15"/>
      <c r="J107" s="20"/>
      <c r="K107" s="8"/>
      <c r="L107" s="8"/>
    </row>
    <row r="108" spans="1:12">
      <c r="A108" s="8">
        <v>36</v>
      </c>
      <c r="B108" s="8" t="s">
        <v>29</v>
      </c>
      <c r="C108" s="8" t="s">
        <v>12</v>
      </c>
      <c r="D108" s="20">
        <f>15165.71+4573.72</f>
        <v>19739.43</v>
      </c>
      <c r="E108" s="20">
        <v>627.1</v>
      </c>
      <c r="F108" s="15">
        <v>154.08000000000001</v>
      </c>
      <c r="G108" s="15">
        <v>0</v>
      </c>
      <c r="H108" s="15">
        <v>0</v>
      </c>
      <c r="I108" s="15">
        <v>0</v>
      </c>
      <c r="J108" s="20">
        <f>SUM(D108:I108)</f>
        <v>20520.61</v>
      </c>
      <c r="K108" s="8"/>
      <c r="L108" s="8"/>
    </row>
    <row r="109" spans="1:12">
      <c r="A109" s="8"/>
      <c r="B109" s="8"/>
      <c r="C109" s="38" t="s">
        <v>13</v>
      </c>
      <c r="D109" s="20">
        <f>183.09+55.22</f>
        <v>238.31</v>
      </c>
      <c r="E109" s="20">
        <v>8.01</v>
      </c>
      <c r="F109" s="15">
        <v>3.42</v>
      </c>
      <c r="G109" s="15">
        <v>0</v>
      </c>
      <c r="H109" s="15">
        <v>0</v>
      </c>
      <c r="I109" s="15">
        <v>0</v>
      </c>
      <c r="J109" s="20">
        <f>SUM(D109:I109)</f>
        <v>249.73999999999998</v>
      </c>
      <c r="K109" s="8"/>
      <c r="L109" s="8"/>
    </row>
    <row r="110" spans="1:12" ht="15.75" thickBot="1">
      <c r="A110" s="8"/>
      <c r="B110" s="8"/>
      <c r="C110" s="38" t="s">
        <v>109</v>
      </c>
      <c r="D110" s="29">
        <f>1294.69+390.46</f>
        <v>1685.15</v>
      </c>
      <c r="E110" s="29">
        <v>52.26</v>
      </c>
      <c r="F110" s="28">
        <v>14.04</v>
      </c>
      <c r="G110" s="28">
        <v>0</v>
      </c>
      <c r="H110" s="28">
        <v>0</v>
      </c>
      <c r="I110" s="28">
        <v>0</v>
      </c>
      <c r="J110" s="29">
        <f>SUM(D110:I110)</f>
        <v>1751.45</v>
      </c>
      <c r="K110" s="8"/>
      <c r="L110" s="8"/>
    </row>
    <row r="111" spans="1:12">
      <c r="A111" s="8"/>
      <c r="B111" s="8"/>
      <c r="C111" s="8"/>
      <c r="D111" s="20"/>
      <c r="E111" s="20"/>
      <c r="F111" s="15"/>
      <c r="G111" s="15"/>
      <c r="H111" s="15"/>
      <c r="I111" s="15"/>
      <c r="J111" s="20"/>
      <c r="K111" s="8"/>
      <c r="L111" s="8"/>
    </row>
    <row r="112" spans="1:12" ht="15.75" thickBot="1">
      <c r="A112" s="8"/>
      <c r="B112" s="8"/>
      <c r="C112" s="8" t="s">
        <v>10</v>
      </c>
      <c r="D112" s="31">
        <f t="shared" ref="D112:I112" si="15">SUM(D108:D110)</f>
        <v>21662.890000000003</v>
      </c>
      <c r="E112" s="31">
        <f t="shared" si="15"/>
        <v>687.37</v>
      </c>
      <c r="F112" s="30">
        <f t="shared" si="15"/>
        <v>171.54</v>
      </c>
      <c r="G112" s="30">
        <f t="shared" si="15"/>
        <v>0</v>
      </c>
      <c r="H112" s="30">
        <f t="shared" si="15"/>
        <v>0</v>
      </c>
      <c r="I112" s="30">
        <f t="shared" si="15"/>
        <v>0</v>
      </c>
      <c r="J112" s="31">
        <f>SUM(D112:I112)</f>
        <v>22521.800000000003</v>
      </c>
      <c r="K112" s="8"/>
      <c r="L112" s="8"/>
    </row>
    <row r="113" spans="1:12" ht="15.75" thickTop="1">
      <c r="A113" s="8"/>
      <c r="B113" s="8"/>
      <c r="C113" s="8"/>
      <c r="D113" s="20"/>
      <c r="E113" s="20"/>
      <c r="F113" s="15"/>
      <c r="G113" s="15"/>
      <c r="H113" s="15"/>
      <c r="I113" s="15"/>
      <c r="J113" s="20"/>
      <c r="K113" s="8"/>
      <c r="L113" s="8"/>
    </row>
    <row r="114" spans="1:12">
      <c r="A114" s="8"/>
      <c r="B114" s="8"/>
      <c r="C114" s="8"/>
      <c r="D114" s="20"/>
      <c r="E114" s="20"/>
      <c r="F114" s="15"/>
      <c r="G114" s="15"/>
      <c r="H114" s="15"/>
      <c r="I114" s="15"/>
      <c r="J114" s="20"/>
      <c r="K114" s="8"/>
      <c r="L114" s="8"/>
    </row>
    <row r="115" spans="1:12" ht="15.75" thickBot="1">
      <c r="A115" s="8">
        <v>37</v>
      </c>
      <c r="B115" s="8" t="s">
        <v>30</v>
      </c>
      <c r="C115" s="8" t="s">
        <v>12</v>
      </c>
      <c r="D115" s="29">
        <f>19937.11+5056.78</f>
        <v>24993.89</v>
      </c>
      <c r="E115" s="29">
        <v>522.37</v>
      </c>
      <c r="F115" s="28">
        <v>9.23</v>
      </c>
      <c r="G115" s="28">
        <v>0</v>
      </c>
      <c r="H115" s="28">
        <v>0</v>
      </c>
      <c r="I115" s="28">
        <v>0</v>
      </c>
      <c r="J115" s="29">
        <f>SUM(D115:I115)</f>
        <v>25525.489999999998</v>
      </c>
      <c r="K115" s="8"/>
      <c r="L115" s="8"/>
    </row>
    <row r="116" spans="1:12">
      <c r="A116" s="8"/>
      <c r="B116" s="8"/>
      <c r="C116" s="8"/>
      <c r="D116" s="20"/>
      <c r="E116" s="20"/>
      <c r="F116" s="15"/>
      <c r="G116" s="15"/>
      <c r="H116" s="15"/>
      <c r="I116" s="15"/>
      <c r="J116" s="20"/>
      <c r="K116" s="8"/>
      <c r="L116" s="8"/>
    </row>
    <row r="117" spans="1:12" ht="15.75" thickBot="1">
      <c r="A117" s="8"/>
      <c r="B117" s="8"/>
      <c r="C117" s="8" t="s">
        <v>10</v>
      </c>
      <c r="D117" s="31">
        <f t="shared" ref="D117:I117" si="16">SUM(D115:D116)</f>
        <v>24993.89</v>
      </c>
      <c r="E117" s="31">
        <f t="shared" si="16"/>
        <v>522.37</v>
      </c>
      <c r="F117" s="30">
        <f t="shared" si="16"/>
        <v>9.23</v>
      </c>
      <c r="G117" s="30">
        <f t="shared" si="16"/>
        <v>0</v>
      </c>
      <c r="H117" s="30">
        <f t="shared" si="16"/>
        <v>0</v>
      </c>
      <c r="I117" s="30">
        <f t="shared" si="16"/>
        <v>0</v>
      </c>
      <c r="J117" s="31">
        <f>SUM(D117:I117)</f>
        <v>25525.489999999998</v>
      </c>
      <c r="K117" s="8"/>
      <c r="L117" s="8"/>
    </row>
    <row r="118" spans="1:12" ht="15.75" thickTop="1">
      <c r="A118" s="8"/>
      <c r="B118" s="8"/>
      <c r="C118" s="8"/>
      <c r="D118" s="20"/>
      <c r="E118" s="20"/>
      <c r="F118" s="15"/>
      <c r="G118" s="15"/>
      <c r="H118" s="15"/>
      <c r="I118" s="15"/>
      <c r="J118" s="20"/>
      <c r="K118" s="8"/>
      <c r="L118" s="8"/>
    </row>
    <row r="119" spans="1:12">
      <c r="A119" s="8"/>
      <c r="B119" s="8"/>
      <c r="C119" s="8"/>
      <c r="D119" s="20"/>
      <c r="E119" s="20"/>
      <c r="F119" s="15"/>
      <c r="G119" s="15"/>
      <c r="H119" s="15"/>
      <c r="I119" s="15"/>
      <c r="J119" s="20"/>
      <c r="K119" s="8"/>
      <c r="L119" s="8"/>
    </row>
    <row r="120" spans="1:12">
      <c r="A120" s="8">
        <v>38</v>
      </c>
      <c r="B120" s="8" t="s">
        <v>31</v>
      </c>
      <c r="C120" s="8" t="s">
        <v>12</v>
      </c>
      <c r="D120" s="20">
        <f>9013.52+3184.57</f>
        <v>12198.09</v>
      </c>
      <c r="E120" s="35">
        <v>0</v>
      </c>
      <c r="F120" s="15">
        <v>0</v>
      </c>
      <c r="G120" s="15">
        <v>0</v>
      </c>
      <c r="H120" s="15">
        <v>0</v>
      </c>
      <c r="I120" s="15">
        <v>0</v>
      </c>
      <c r="J120" s="20">
        <f>SUM(D120:I120)</f>
        <v>12198.09</v>
      </c>
      <c r="K120" s="8"/>
      <c r="L120" s="8"/>
    </row>
    <row r="121" spans="1:12">
      <c r="A121" s="8"/>
      <c r="B121" s="8"/>
      <c r="C121" s="8" t="s">
        <v>35</v>
      </c>
      <c r="D121" s="20">
        <f>510.77+180.46</f>
        <v>691.23</v>
      </c>
      <c r="E121" s="35">
        <v>0</v>
      </c>
      <c r="F121" s="15">
        <v>0</v>
      </c>
      <c r="G121" s="15">
        <v>0</v>
      </c>
      <c r="H121" s="15">
        <v>0</v>
      </c>
      <c r="I121" s="15">
        <v>0</v>
      </c>
      <c r="J121" s="20">
        <f>SUM(D121:I121)</f>
        <v>691.23</v>
      </c>
      <c r="K121" s="8"/>
      <c r="L121" s="8"/>
    </row>
    <row r="122" spans="1:12">
      <c r="A122" s="8"/>
      <c r="B122" s="8"/>
      <c r="C122" s="8" t="s">
        <v>13</v>
      </c>
      <c r="D122" s="20">
        <f>215.32+76.08</f>
        <v>291.39999999999998</v>
      </c>
      <c r="E122" s="35">
        <v>0</v>
      </c>
      <c r="F122" s="15">
        <v>0</v>
      </c>
      <c r="G122" s="15">
        <v>0</v>
      </c>
      <c r="H122" s="15">
        <v>0</v>
      </c>
      <c r="I122" s="15">
        <v>0</v>
      </c>
      <c r="J122" s="20">
        <f>SUM(D122:I122)</f>
        <v>291.39999999999998</v>
      </c>
      <c r="K122" s="8"/>
      <c r="L122" s="8"/>
    </row>
    <row r="123" spans="1:12" ht="15.75" thickBot="1">
      <c r="A123" s="8"/>
      <c r="B123" s="8"/>
      <c r="C123" s="8" t="s">
        <v>78</v>
      </c>
      <c r="D123" s="29">
        <f>1201.53+360.92</f>
        <v>1562.45</v>
      </c>
      <c r="E123" s="34">
        <v>0</v>
      </c>
      <c r="F123" s="28">
        <v>0</v>
      </c>
      <c r="G123" s="28">
        <v>0</v>
      </c>
      <c r="H123" s="28">
        <v>0</v>
      </c>
      <c r="I123" s="28">
        <v>0</v>
      </c>
      <c r="J123" s="29">
        <f>SUM(D123:I123)</f>
        <v>1562.45</v>
      </c>
      <c r="K123" s="8"/>
      <c r="L123" s="8"/>
    </row>
    <row r="124" spans="1:12">
      <c r="A124" s="8"/>
      <c r="B124" s="8"/>
      <c r="C124" s="8"/>
      <c r="D124" s="20"/>
      <c r="E124" s="35"/>
      <c r="F124" s="15"/>
      <c r="G124" s="15"/>
      <c r="H124" s="15"/>
      <c r="I124" s="15"/>
      <c r="J124" s="20"/>
      <c r="K124" s="8"/>
      <c r="L124" s="8"/>
    </row>
    <row r="125" spans="1:12" ht="15.75" thickBot="1">
      <c r="A125" s="8"/>
      <c r="B125" s="8"/>
      <c r="C125" s="8" t="s">
        <v>10</v>
      </c>
      <c r="D125" s="31">
        <f t="shared" ref="D125:I125" si="17">SUM(D120:D123)</f>
        <v>14743.17</v>
      </c>
      <c r="E125" s="44">
        <f t="shared" si="17"/>
        <v>0</v>
      </c>
      <c r="F125" s="30">
        <f t="shared" si="17"/>
        <v>0</v>
      </c>
      <c r="G125" s="30">
        <f t="shared" si="17"/>
        <v>0</v>
      </c>
      <c r="H125" s="30">
        <f t="shared" si="17"/>
        <v>0</v>
      </c>
      <c r="I125" s="30">
        <f t="shared" si="17"/>
        <v>0</v>
      </c>
      <c r="J125" s="31">
        <f>SUM(D125:I125)</f>
        <v>14743.17</v>
      </c>
      <c r="K125" s="8"/>
      <c r="L125" s="8"/>
    </row>
    <row r="126" spans="1:12" ht="15.75" thickTop="1">
      <c r="A126" s="8"/>
      <c r="B126" s="8"/>
      <c r="C126" s="8"/>
      <c r="D126" s="20"/>
      <c r="E126" s="20"/>
      <c r="F126" s="15"/>
      <c r="G126" s="15"/>
      <c r="H126" s="15"/>
      <c r="I126" s="15"/>
      <c r="J126" s="20"/>
      <c r="K126" s="8"/>
      <c r="L126" s="8"/>
    </row>
    <row r="127" spans="1:12">
      <c r="A127" s="8"/>
      <c r="B127" s="8"/>
      <c r="C127" s="8"/>
      <c r="D127" s="20"/>
      <c r="E127" s="20"/>
      <c r="F127" s="15"/>
      <c r="G127" s="15"/>
      <c r="H127" s="15"/>
      <c r="I127" s="15"/>
      <c r="J127" s="20"/>
      <c r="K127" s="8"/>
      <c r="L127" s="8"/>
    </row>
    <row r="128" spans="1:12" ht="15.75" thickBot="1">
      <c r="A128" s="8">
        <v>39</v>
      </c>
      <c r="B128" s="8" t="s">
        <v>32</v>
      </c>
      <c r="C128" s="8" t="s">
        <v>12</v>
      </c>
      <c r="D128" s="34">
        <v>0</v>
      </c>
      <c r="E128" s="34">
        <v>0</v>
      </c>
      <c r="F128" s="28">
        <v>0</v>
      </c>
      <c r="G128" s="28">
        <v>0</v>
      </c>
      <c r="H128" s="28">
        <v>0</v>
      </c>
      <c r="I128" s="28">
        <v>0</v>
      </c>
      <c r="J128" s="34">
        <f>SUM(D128:I128)</f>
        <v>0</v>
      </c>
      <c r="K128" s="8"/>
      <c r="L128" s="8"/>
    </row>
    <row r="129" spans="1:12">
      <c r="A129" s="8"/>
      <c r="B129" s="8"/>
      <c r="C129" s="8"/>
      <c r="D129" s="35"/>
      <c r="E129" s="35"/>
      <c r="F129" s="15"/>
      <c r="G129" s="15"/>
      <c r="H129" s="15"/>
      <c r="I129" s="15"/>
      <c r="J129" s="20"/>
      <c r="K129" s="8"/>
      <c r="L129" s="8"/>
    </row>
    <row r="130" spans="1:12" ht="15.75" thickBot="1">
      <c r="A130" s="8"/>
      <c r="B130" s="8"/>
      <c r="C130" s="8" t="s">
        <v>10</v>
      </c>
      <c r="D130" s="44">
        <f>D128</f>
        <v>0</v>
      </c>
      <c r="E130" s="44">
        <f t="shared" ref="E130:J130" si="18">E128</f>
        <v>0</v>
      </c>
      <c r="F130" s="30">
        <f t="shared" si="18"/>
        <v>0</v>
      </c>
      <c r="G130" s="30">
        <f t="shared" si="18"/>
        <v>0</v>
      </c>
      <c r="H130" s="30">
        <f t="shared" si="18"/>
        <v>0</v>
      </c>
      <c r="I130" s="30">
        <f t="shared" si="18"/>
        <v>0</v>
      </c>
      <c r="J130" s="30">
        <f t="shared" si="18"/>
        <v>0</v>
      </c>
      <c r="K130" s="8"/>
      <c r="L130" s="8"/>
    </row>
    <row r="131" spans="1:12" ht="15.75" thickTop="1">
      <c r="A131" s="8"/>
      <c r="B131" s="8"/>
      <c r="C131" s="8"/>
      <c r="D131" s="20"/>
      <c r="E131" s="20"/>
      <c r="F131" s="15"/>
      <c r="G131" s="15"/>
      <c r="H131" s="15"/>
      <c r="I131" s="15"/>
      <c r="J131" s="20"/>
      <c r="K131" s="8"/>
      <c r="L131" s="8"/>
    </row>
    <row r="132" spans="1:12">
      <c r="A132" s="8"/>
      <c r="B132" s="8"/>
      <c r="C132" s="8"/>
      <c r="D132" s="20"/>
      <c r="E132" s="20"/>
      <c r="F132" s="15"/>
      <c r="G132" s="15"/>
      <c r="H132" s="15"/>
      <c r="I132" s="15"/>
      <c r="J132" s="20"/>
      <c r="K132" s="8"/>
      <c r="L132" s="8"/>
    </row>
    <row r="133" spans="1:12" ht="15.75" thickBot="1">
      <c r="A133" s="8">
        <v>40</v>
      </c>
      <c r="B133" s="8" t="s">
        <v>33</v>
      </c>
      <c r="C133" s="8" t="s">
        <v>12</v>
      </c>
      <c r="D133" s="29">
        <f>14754.66+3527.18</f>
        <v>18281.84</v>
      </c>
      <c r="E133" s="34">
        <v>9.43</v>
      </c>
      <c r="F133" s="28">
        <v>7.27</v>
      </c>
      <c r="G133" s="28">
        <v>0</v>
      </c>
      <c r="H133" s="28">
        <v>0</v>
      </c>
      <c r="I133" s="28">
        <v>0</v>
      </c>
      <c r="J133" s="29">
        <f>SUM(D133:I133)</f>
        <v>18298.54</v>
      </c>
      <c r="K133" s="8"/>
      <c r="L133" s="8"/>
    </row>
    <row r="134" spans="1:12">
      <c r="A134" s="8"/>
      <c r="B134" s="8"/>
      <c r="C134" s="8"/>
      <c r="D134" s="20"/>
      <c r="E134" s="35"/>
      <c r="F134" s="15"/>
      <c r="G134" s="15"/>
      <c r="H134" s="15"/>
      <c r="I134" s="15"/>
      <c r="J134" s="20"/>
      <c r="K134" s="8"/>
      <c r="L134" s="8"/>
    </row>
    <row r="135" spans="1:12" ht="15.75" thickBot="1">
      <c r="A135" s="8"/>
      <c r="B135" s="8"/>
      <c r="C135" s="8" t="s">
        <v>10</v>
      </c>
      <c r="D135" s="31">
        <f t="shared" ref="D135:I135" si="19">SUM(D133:D134)</f>
        <v>18281.84</v>
      </c>
      <c r="E135" s="44">
        <f t="shared" si="19"/>
        <v>9.43</v>
      </c>
      <c r="F135" s="30">
        <f t="shared" si="19"/>
        <v>7.27</v>
      </c>
      <c r="G135" s="30">
        <f t="shared" si="19"/>
        <v>0</v>
      </c>
      <c r="H135" s="30">
        <f t="shared" si="19"/>
        <v>0</v>
      </c>
      <c r="I135" s="30">
        <f t="shared" si="19"/>
        <v>0</v>
      </c>
      <c r="J135" s="31">
        <f>SUM(D135:I135)</f>
        <v>18298.54</v>
      </c>
      <c r="K135" s="8"/>
      <c r="L135" s="8"/>
    </row>
    <row r="136" spans="1:12" ht="15.75" thickTop="1">
      <c r="A136" s="8"/>
      <c r="B136" s="8"/>
      <c r="C136" s="8"/>
      <c r="D136" s="20"/>
      <c r="E136" s="20"/>
      <c r="F136" s="15"/>
      <c r="G136" s="15"/>
      <c r="H136" s="15"/>
      <c r="I136" s="15"/>
      <c r="J136" s="20"/>
      <c r="K136" s="8"/>
      <c r="L136" s="8"/>
    </row>
    <row r="137" spans="1:12">
      <c r="A137" s="8"/>
      <c r="B137" s="8"/>
      <c r="C137" s="8"/>
      <c r="D137" s="20"/>
      <c r="E137" s="20"/>
      <c r="F137" s="15"/>
      <c r="G137" s="15"/>
      <c r="H137" s="15"/>
      <c r="I137" s="15"/>
      <c r="J137" s="20"/>
      <c r="K137" s="8"/>
      <c r="L137" s="8"/>
    </row>
    <row r="138" spans="1:12">
      <c r="A138" s="8">
        <v>41</v>
      </c>
      <c r="B138" s="8" t="s">
        <v>34</v>
      </c>
      <c r="C138" s="8" t="s">
        <v>12</v>
      </c>
      <c r="D138" s="20">
        <f>10285.15+2430.31</f>
        <v>12715.46</v>
      </c>
      <c r="E138" s="41">
        <v>0</v>
      </c>
      <c r="F138" s="15">
        <v>0</v>
      </c>
      <c r="G138" s="15">
        <v>0</v>
      </c>
      <c r="H138" s="15">
        <v>0</v>
      </c>
      <c r="I138" s="15">
        <v>0</v>
      </c>
      <c r="J138" s="20">
        <f>SUM(D138:I138)</f>
        <v>12715.46</v>
      </c>
      <c r="K138" s="8"/>
      <c r="L138" s="8"/>
    </row>
    <row r="139" spans="1:12">
      <c r="A139" s="8"/>
      <c r="B139" s="8"/>
      <c r="C139" s="38" t="s">
        <v>35</v>
      </c>
      <c r="D139" s="20">
        <f>631.77+149.28</f>
        <v>781.05</v>
      </c>
      <c r="E139" s="41">
        <v>0</v>
      </c>
      <c r="F139" s="15">
        <v>0</v>
      </c>
      <c r="G139" s="15">
        <v>0</v>
      </c>
      <c r="H139" s="15">
        <v>0</v>
      </c>
      <c r="I139" s="15">
        <v>0</v>
      </c>
      <c r="J139" s="20">
        <f>SUM(D139:I139)</f>
        <v>781.05</v>
      </c>
      <c r="K139" s="8"/>
      <c r="L139" s="8"/>
    </row>
    <row r="140" spans="1:12" ht="15.75" thickBot="1">
      <c r="A140" s="8"/>
      <c r="B140" s="8"/>
      <c r="C140" s="38" t="s">
        <v>109</v>
      </c>
      <c r="D140" s="29">
        <f>1269.85+300.06</f>
        <v>1569.9099999999999</v>
      </c>
      <c r="E140" s="42">
        <v>0</v>
      </c>
      <c r="F140" s="28">
        <v>0</v>
      </c>
      <c r="G140" s="28">
        <v>0</v>
      </c>
      <c r="H140" s="28">
        <v>0</v>
      </c>
      <c r="I140" s="28">
        <v>0</v>
      </c>
      <c r="J140" s="29">
        <f>SUM(D140:I140)</f>
        <v>1569.9099999999999</v>
      </c>
      <c r="K140" s="8"/>
      <c r="L140" s="8"/>
    </row>
    <row r="141" spans="1:12">
      <c r="A141" s="8"/>
      <c r="B141" s="8"/>
      <c r="C141" s="8"/>
      <c r="D141" s="20"/>
      <c r="E141" s="41"/>
      <c r="F141" s="15"/>
      <c r="G141" s="15"/>
      <c r="H141" s="15"/>
      <c r="I141" s="15"/>
      <c r="J141" s="20"/>
      <c r="K141" s="8"/>
      <c r="L141" s="8"/>
    </row>
    <row r="142" spans="1:12" ht="15.75" thickBot="1">
      <c r="A142" s="8"/>
      <c r="B142" s="8"/>
      <c r="C142" s="8" t="s">
        <v>10</v>
      </c>
      <c r="D142" s="31">
        <f t="shared" ref="D142:I142" si="20">SUM(D138:D140)</f>
        <v>15066.419999999998</v>
      </c>
      <c r="E142" s="43">
        <f t="shared" si="20"/>
        <v>0</v>
      </c>
      <c r="F142" s="30">
        <f t="shared" si="20"/>
        <v>0</v>
      </c>
      <c r="G142" s="30">
        <f t="shared" si="20"/>
        <v>0</v>
      </c>
      <c r="H142" s="30">
        <f t="shared" si="20"/>
        <v>0</v>
      </c>
      <c r="I142" s="30">
        <f t="shared" si="20"/>
        <v>0</v>
      </c>
      <c r="J142" s="31">
        <f>SUM(D142:I142)</f>
        <v>15066.419999999998</v>
      </c>
      <c r="K142" s="8"/>
      <c r="L142" s="8"/>
    </row>
    <row r="143" spans="1:12" ht="15.75" thickTop="1">
      <c r="A143" s="8"/>
      <c r="B143" s="8"/>
      <c r="C143" s="8"/>
      <c r="D143" s="20"/>
      <c r="E143" s="20"/>
      <c r="F143" s="15"/>
      <c r="G143" s="15"/>
      <c r="H143" s="15"/>
      <c r="I143" s="15"/>
      <c r="J143" s="20"/>
      <c r="K143" s="8"/>
      <c r="L143" s="8"/>
    </row>
    <row r="144" spans="1:12">
      <c r="A144" s="8"/>
      <c r="B144" s="8"/>
      <c r="C144" s="8"/>
      <c r="D144" s="20"/>
      <c r="E144" s="20"/>
      <c r="F144" s="15"/>
      <c r="G144" s="15"/>
      <c r="H144" s="15"/>
      <c r="I144" s="15"/>
      <c r="J144" s="20"/>
      <c r="K144" s="8"/>
      <c r="L144" s="8"/>
    </row>
    <row r="145" spans="1:12">
      <c r="A145" s="8">
        <v>42</v>
      </c>
      <c r="B145" s="8" t="s">
        <v>36</v>
      </c>
      <c r="C145" s="8" t="s">
        <v>12</v>
      </c>
      <c r="D145" s="20">
        <f>16146.02+3458.64</f>
        <v>19604.66</v>
      </c>
      <c r="E145" s="20">
        <v>429.13</v>
      </c>
      <c r="F145" s="40">
        <v>492.1</v>
      </c>
      <c r="G145" s="15">
        <v>0</v>
      </c>
      <c r="H145" s="15">
        <v>0</v>
      </c>
      <c r="I145" s="15">
        <v>0</v>
      </c>
      <c r="J145" s="20">
        <f>SUM(D145:I145)</f>
        <v>20525.89</v>
      </c>
      <c r="K145" s="8"/>
      <c r="L145" s="8"/>
    </row>
    <row r="146" spans="1:12" ht="15.75" thickBot="1">
      <c r="A146" s="8"/>
      <c r="B146" s="8"/>
      <c r="C146" s="8" t="s">
        <v>13</v>
      </c>
      <c r="D146" s="29">
        <f>1089.89+233.47</f>
        <v>1323.3600000000001</v>
      </c>
      <c r="E146" s="29">
        <v>25.55</v>
      </c>
      <c r="F146" s="28">
        <v>13.4</v>
      </c>
      <c r="G146" s="28">
        <v>0</v>
      </c>
      <c r="H146" s="28">
        <v>0</v>
      </c>
      <c r="I146" s="28">
        <v>0</v>
      </c>
      <c r="J146" s="29">
        <f>SUM(D146:I146)</f>
        <v>1362.3100000000002</v>
      </c>
      <c r="K146" s="8"/>
      <c r="L146" s="8"/>
    </row>
    <row r="147" spans="1:12">
      <c r="A147" s="8"/>
      <c r="B147" s="8"/>
      <c r="C147" s="8"/>
      <c r="D147" s="20"/>
      <c r="E147" s="20"/>
      <c r="F147" s="15"/>
      <c r="G147" s="15"/>
      <c r="H147" s="15"/>
      <c r="I147" s="15"/>
      <c r="J147" s="20"/>
      <c r="K147" s="8"/>
      <c r="L147" s="8"/>
    </row>
    <row r="148" spans="1:12" ht="15.75" thickBot="1">
      <c r="A148" s="8"/>
      <c r="B148" s="8"/>
      <c r="C148" s="8" t="s">
        <v>10</v>
      </c>
      <c r="D148" s="31">
        <f t="shared" ref="D148:I148" si="21">SUM(D145:D146)</f>
        <v>20928.02</v>
      </c>
      <c r="E148" s="31">
        <f t="shared" si="21"/>
        <v>454.68</v>
      </c>
      <c r="F148" s="30">
        <f t="shared" si="21"/>
        <v>505.5</v>
      </c>
      <c r="G148" s="30">
        <f t="shared" si="21"/>
        <v>0</v>
      </c>
      <c r="H148" s="30">
        <f t="shared" si="21"/>
        <v>0</v>
      </c>
      <c r="I148" s="30">
        <f t="shared" si="21"/>
        <v>0</v>
      </c>
      <c r="J148" s="31">
        <f>SUM(D148:I148)</f>
        <v>21888.2</v>
      </c>
      <c r="K148" s="8"/>
      <c r="L148" s="8"/>
    </row>
    <row r="149" spans="1:12" ht="15.75" thickTop="1">
      <c r="A149" s="8"/>
      <c r="B149" s="8"/>
      <c r="C149" s="8"/>
      <c r="D149" s="20"/>
      <c r="E149" s="20"/>
      <c r="F149" s="15"/>
      <c r="G149" s="15"/>
      <c r="H149" s="15"/>
      <c r="I149" s="15"/>
      <c r="J149" s="20"/>
      <c r="K149" s="8"/>
      <c r="L149" s="8"/>
    </row>
    <row r="150" spans="1:12">
      <c r="A150" s="8"/>
      <c r="B150" s="8"/>
      <c r="C150" s="8"/>
      <c r="D150" s="20"/>
      <c r="E150" s="20"/>
      <c r="F150" s="15"/>
      <c r="G150" s="15"/>
      <c r="H150" s="15"/>
      <c r="I150" s="15"/>
      <c r="J150" s="20"/>
      <c r="K150" s="8"/>
      <c r="L150" s="8"/>
    </row>
    <row r="151" spans="1:12">
      <c r="A151" s="8">
        <v>43</v>
      </c>
      <c r="B151" s="8" t="s">
        <v>37</v>
      </c>
      <c r="C151" s="8" t="s">
        <v>12</v>
      </c>
      <c r="D151" s="20">
        <f>21476.03+7724.02</f>
        <v>29200.05</v>
      </c>
      <c r="E151" s="35">
        <v>0</v>
      </c>
      <c r="F151" s="15">
        <v>0</v>
      </c>
      <c r="G151" s="15">
        <v>0</v>
      </c>
      <c r="H151" s="15">
        <v>0</v>
      </c>
      <c r="I151" s="15">
        <v>0</v>
      </c>
      <c r="J151" s="20">
        <f>SUM(D151:I151)</f>
        <v>29200.05</v>
      </c>
      <c r="K151" s="8"/>
      <c r="L151" s="8"/>
    </row>
    <row r="152" spans="1:12">
      <c r="A152" s="8"/>
      <c r="B152" s="8"/>
      <c r="C152" s="8" t="s">
        <v>35</v>
      </c>
      <c r="D152" s="20">
        <f>623.22+224.14</f>
        <v>847.36</v>
      </c>
      <c r="E152" s="35">
        <v>0</v>
      </c>
      <c r="F152" s="15">
        <v>0</v>
      </c>
      <c r="G152" s="15">
        <v>0</v>
      </c>
      <c r="H152" s="15">
        <v>0</v>
      </c>
      <c r="I152" s="15">
        <v>0</v>
      </c>
      <c r="J152" s="20">
        <f>SUM(D152:I152)</f>
        <v>847.36</v>
      </c>
      <c r="K152" s="8"/>
      <c r="L152" s="8"/>
    </row>
    <row r="153" spans="1:12">
      <c r="A153" s="8"/>
      <c r="B153" s="8"/>
      <c r="C153" s="8" t="s">
        <v>13</v>
      </c>
      <c r="D153" s="20">
        <f>230.59+82.93</f>
        <v>313.52</v>
      </c>
      <c r="E153" s="35">
        <v>0</v>
      </c>
      <c r="F153" s="15">
        <v>0</v>
      </c>
      <c r="G153" s="15">
        <v>0</v>
      </c>
      <c r="H153" s="15">
        <v>0</v>
      </c>
      <c r="I153" s="15">
        <v>0</v>
      </c>
      <c r="J153" s="20">
        <f>SUM(D153:I153)</f>
        <v>313.52</v>
      </c>
      <c r="K153" s="8"/>
      <c r="L153" s="8"/>
    </row>
    <row r="154" spans="1:12" ht="15.75" thickBot="1">
      <c r="A154" s="8"/>
      <c r="B154" s="8"/>
      <c r="C154" s="8" t="s">
        <v>78</v>
      </c>
      <c r="D154" s="29">
        <f>1670.22+600.71</f>
        <v>2270.9300000000003</v>
      </c>
      <c r="E154" s="34">
        <v>0</v>
      </c>
      <c r="F154" s="28">
        <v>0</v>
      </c>
      <c r="G154" s="28">
        <v>0</v>
      </c>
      <c r="H154" s="28">
        <v>0</v>
      </c>
      <c r="I154" s="28">
        <v>0</v>
      </c>
      <c r="J154" s="29">
        <f>SUM(D154:I154)</f>
        <v>2270.9300000000003</v>
      </c>
      <c r="K154" s="8"/>
      <c r="L154" s="8"/>
    </row>
    <row r="155" spans="1:12">
      <c r="A155" s="8"/>
      <c r="B155" s="8"/>
      <c r="C155" s="8"/>
      <c r="D155" s="20"/>
      <c r="E155" s="35"/>
      <c r="F155" s="15"/>
      <c r="G155" s="15"/>
      <c r="H155" s="15"/>
      <c r="I155" s="15"/>
      <c r="J155" s="20"/>
      <c r="K155" s="8"/>
      <c r="L155" s="8"/>
    </row>
    <row r="156" spans="1:12" ht="15.75" thickBot="1">
      <c r="A156" s="8"/>
      <c r="B156" s="8"/>
      <c r="C156" s="8" t="s">
        <v>10</v>
      </c>
      <c r="D156" s="31">
        <f t="shared" ref="D156:I156" si="22">SUM(D151:D154)</f>
        <v>32631.86</v>
      </c>
      <c r="E156" s="44">
        <f>SUM(E151:E154)</f>
        <v>0</v>
      </c>
      <c r="F156" s="30">
        <f t="shared" si="22"/>
        <v>0</v>
      </c>
      <c r="G156" s="30">
        <f t="shared" si="22"/>
        <v>0</v>
      </c>
      <c r="H156" s="30">
        <f t="shared" si="22"/>
        <v>0</v>
      </c>
      <c r="I156" s="30">
        <f t="shared" si="22"/>
        <v>0</v>
      </c>
      <c r="J156" s="31">
        <f>SUM(D156:I156)</f>
        <v>32631.86</v>
      </c>
      <c r="K156" s="8"/>
      <c r="L156" s="8"/>
    </row>
    <row r="157" spans="1:12" ht="15.75" thickTop="1">
      <c r="A157" s="8"/>
      <c r="B157" s="8"/>
      <c r="C157" s="8"/>
      <c r="D157" s="20"/>
      <c r="E157" s="20"/>
      <c r="F157" s="15"/>
      <c r="G157" s="15"/>
      <c r="H157" s="15"/>
      <c r="I157" s="15"/>
      <c r="J157" s="20"/>
      <c r="K157" s="8"/>
      <c r="L157" s="8"/>
    </row>
    <row r="158" spans="1:12">
      <c r="A158" s="8"/>
      <c r="B158" s="8"/>
      <c r="C158" s="8"/>
      <c r="D158" s="20"/>
      <c r="E158" s="20"/>
      <c r="F158" s="15"/>
      <c r="G158" s="15"/>
      <c r="H158" s="15"/>
      <c r="I158" s="15"/>
      <c r="J158" s="20"/>
      <c r="K158" s="8"/>
      <c r="L158" s="8"/>
    </row>
    <row r="159" spans="1:12" ht="15.75" thickBot="1">
      <c r="A159" s="8">
        <v>44</v>
      </c>
      <c r="B159" s="8" t="s">
        <v>38</v>
      </c>
      <c r="C159" s="8" t="s">
        <v>12</v>
      </c>
      <c r="D159" s="29">
        <f>9666.44+2192.93</f>
        <v>11859.37</v>
      </c>
      <c r="E159" s="29">
        <v>503.71</v>
      </c>
      <c r="F159" s="28">
        <v>59.82</v>
      </c>
      <c r="G159" s="28">
        <v>0</v>
      </c>
      <c r="H159" s="28">
        <v>0</v>
      </c>
      <c r="I159" s="28">
        <v>0</v>
      </c>
      <c r="J159" s="29">
        <f>SUM(D159:I159)</f>
        <v>12422.9</v>
      </c>
      <c r="K159" s="8"/>
      <c r="L159" s="8"/>
    </row>
    <row r="160" spans="1:12">
      <c r="A160" s="8"/>
      <c r="B160" s="8"/>
      <c r="C160" s="8"/>
      <c r="D160" s="20"/>
      <c r="E160" s="20"/>
      <c r="F160" s="15"/>
      <c r="G160" s="15"/>
      <c r="H160" s="15"/>
      <c r="I160" s="15"/>
      <c r="J160" s="20"/>
      <c r="K160" s="8"/>
      <c r="L160" s="8"/>
    </row>
    <row r="161" spans="1:12" ht="15.75" thickBot="1">
      <c r="A161" s="8"/>
      <c r="B161" s="8"/>
      <c r="C161" s="8" t="s">
        <v>10</v>
      </c>
      <c r="D161" s="31">
        <f t="shared" ref="D161:I161" si="23">SUM(D159:D160)</f>
        <v>11859.37</v>
      </c>
      <c r="E161" s="31">
        <f t="shared" si="23"/>
        <v>503.71</v>
      </c>
      <c r="F161" s="30">
        <f t="shared" si="23"/>
        <v>59.82</v>
      </c>
      <c r="G161" s="30">
        <f t="shared" si="23"/>
        <v>0</v>
      </c>
      <c r="H161" s="30">
        <f t="shared" si="23"/>
        <v>0</v>
      </c>
      <c r="I161" s="30">
        <f t="shared" si="23"/>
        <v>0</v>
      </c>
      <c r="J161" s="31">
        <f>SUM(D161:I161)</f>
        <v>12422.9</v>
      </c>
      <c r="K161" s="8"/>
      <c r="L161" s="8"/>
    </row>
    <row r="162" spans="1:12" ht="15.75" thickTop="1">
      <c r="A162" s="8"/>
      <c r="B162" s="8"/>
      <c r="C162" s="8"/>
      <c r="D162" s="20"/>
      <c r="E162" s="20"/>
      <c r="F162" s="15"/>
      <c r="G162" s="15" t="s">
        <v>70</v>
      </c>
      <c r="H162" s="15" t="s">
        <v>70</v>
      </c>
      <c r="I162" s="15" t="s">
        <v>70</v>
      </c>
      <c r="J162" s="20"/>
      <c r="K162" s="8"/>
      <c r="L162" s="8"/>
    </row>
    <row r="163" spans="1:12">
      <c r="A163" s="8"/>
      <c r="B163" s="8"/>
      <c r="C163" s="8"/>
      <c r="D163" s="20"/>
      <c r="E163" s="20"/>
      <c r="F163" s="15"/>
      <c r="G163" s="15"/>
      <c r="H163" s="15"/>
      <c r="I163" s="15"/>
      <c r="J163" s="20"/>
      <c r="K163" s="8"/>
      <c r="L163" s="8"/>
    </row>
    <row r="164" spans="1:12">
      <c r="A164" s="8">
        <v>45</v>
      </c>
      <c r="B164" s="8" t="s">
        <v>39</v>
      </c>
      <c r="C164" s="8" t="s">
        <v>12</v>
      </c>
      <c r="D164" s="20">
        <f>12648.5+2723.57</f>
        <v>15372.07</v>
      </c>
      <c r="E164" s="20">
        <v>848.49</v>
      </c>
      <c r="F164" s="15">
        <v>821.26</v>
      </c>
      <c r="G164" s="15">
        <v>0</v>
      </c>
      <c r="H164" s="15">
        <v>0</v>
      </c>
      <c r="I164" s="15">
        <v>0</v>
      </c>
      <c r="J164" s="20">
        <f>SUM(D164:I164)</f>
        <v>17041.82</v>
      </c>
      <c r="K164" s="8"/>
      <c r="L164" s="8"/>
    </row>
    <row r="165" spans="1:12" ht="15.75" thickBot="1">
      <c r="A165" s="8"/>
      <c r="B165" s="8"/>
      <c r="C165" s="38" t="s">
        <v>116</v>
      </c>
      <c r="D165" s="29">
        <f>5878.21+1265.74</f>
        <v>7143.95</v>
      </c>
      <c r="E165" s="29">
        <v>377.11</v>
      </c>
      <c r="F165" s="28">
        <v>0</v>
      </c>
      <c r="G165" s="28">
        <v>0</v>
      </c>
      <c r="H165" s="28">
        <v>0</v>
      </c>
      <c r="I165" s="28">
        <v>0</v>
      </c>
      <c r="J165" s="29">
        <f>SUM(D165:I165)</f>
        <v>7521.0599999999995</v>
      </c>
      <c r="K165" s="8"/>
      <c r="L165" s="8"/>
    </row>
    <row r="166" spans="1:12">
      <c r="A166" s="8"/>
      <c r="B166" s="8"/>
      <c r="C166" s="8"/>
      <c r="D166" s="20"/>
      <c r="E166" s="20"/>
      <c r="F166" s="15"/>
      <c r="G166" s="15"/>
      <c r="H166" s="15"/>
      <c r="I166" s="15"/>
      <c r="J166" s="20"/>
      <c r="K166" s="8"/>
      <c r="L166" s="8"/>
    </row>
    <row r="167" spans="1:12" ht="15.75" thickBot="1">
      <c r="A167" s="8"/>
      <c r="B167" s="8"/>
      <c r="C167" s="8" t="s">
        <v>10</v>
      </c>
      <c r="D167" s="31">
        <f t="shared" ref="D167:I167" si="24">SUM(D164:D166)</f>
        <v>22516.02</v>
      </c>
      <c r="E167" s="31">
        <f t="shared" si="24"/>
        <v>1225.5999999999999</v>
      </c>
      <c r="F167" s="30">
        <f t="shared" si="24"/>
        <v>821.26</v>
      </c>
      <c r="G167" s="30">
        <f t="shared" si="24"/>
        <v>0</v>
      </c>
      <c r="H167" s="30">
        <f t="shared" si="24"/>
        <v>0</v>
      </c>
      <c r="I167" s="30">
        <f t="shared" si="24"/>
        <v>0</v>
      </c>
      <c r="J167" s="31">
        <f>SUM(D167:I167)</f>
        <v>24562.879999999997</v>
      </c>
      <c r="K167" s="8"/>
      <c r="L167" s="8"/>
    </row>
    <row r="168" spans="1:12" ht="15.75" thickTop="1">
      <c r="A168" s="8"/>
      <c r="B168" s="8"/>
      <c r="C168" s="8"/>
      <c r="D168" s="20"/>
      <c r="E168" s="20"/>
      <c r="F168" s="15"/>
      <c r="G168" s="15"/>
      <c r="H168" s="15"/>
      <c r="I168" s="15"/>
      <c r="J168" s="20"/>
      <c r="K168" s="8"/>
      <c r="L168" s="8"/>
    </row>
    <row r="169" spans="1:12">
      <c r="A169" s="8"/>
      <c r="B169" s="8"/>
      <c r="C169" s="8"/>
      <c r="D169" s="20"/>
      <c r="E169" s="20"/>
      <c r="F169" s="15"/>
      <c r="G169" s="15"/>
      <c r="H169" s="15"/>
      <c r="I169" s="15"/>
      <c r="J169" s="20"/>
      <c r="K169" s="8"/>
      <c r="L169" s="8"/>
    </row>
    <row r="170" spans="1:12" ht="15.75" thickBot="1">
      <c r="A170" s="8">
        <v>46</v>
      </c>
      <c r="B170" s="8" t="s">
        <v>40</v>
      </c>
      <c r="C170" s="8" t="s">
        <v>12</v>
      </c>
      <c r="D170" s="29">
        <f>9315.27+2221.48</f>
        <v>11536.75</v>
      </c>
      <c r="E170" s="34">
        <v>23.4</v>
      </c>
      <c r="F170" s="28">
        <v>0</v>
      </c>
      <c r="G170" s="28">
        <v>0</v>
      </c>
      <c r="H170" s="28">
        <v>0</v>
      </c>
      <c r="I170" s="28">
        <v>0</v>
      </c>
      <c r="J170" s="29">
        <f>SUM(D170:I170)</f>
        <v>11560.15</v>
      </c>
      <c r="K170" s="8"/>
      <c r="L170" s="8"/>
    </row>
    <row r="171" spans="1:12">
      <c r="A171" s="8"/>
      <c r="B171" s="8"/>
      <c r="C171" s="8"/>
      <c r="D171" s="20"/>
      <c r="E171" s="35"/>
      <c r="F171" s="15"/>
      <c r="G171" s="15"/>
      <c r="H171" s="15"/>
      <c r="I171" s="15"/>
      <c r="J171" s="20"/>
      <c r="K171" s="8"/>
      <c r="L171" s="8"/>
    </row>
    <row r="172" spans="1:12" ht="15.75" thickBot="1">
      <c r="A172" s="8"/>
      <c r="B172" s="8"/>
      <c r="C172" s="8" t="s">
        <v>10</v>
      </c>
      <c r="D172" s="31">
        <f t="shared" ref="D172:I172" si="25">SUM(D170:D171)</f>
        <v>11536.75</v>
      </c>
      <c r="E172" s="44">
        <f t="shared" si="25"/>
        <v>23.4</v>
      </c>
      <c r="F172" s="30">
        <f t="shared" si="25"/>
        <v>0</v>
      </c>
      <c r="G172" s="30">
        <f t="shared" si="25"/>
        <v>0</v>
      </c>
      <c r="H172" s="30">
        <f t="shared" si="25"/>
        <v>0</v>
      </c>
      <c r="I172" s="30">
        <f t="shared" si="25"/>
        <v>0</v>
      </c>
      <c r="J172" s="31">
        <f>SUM(D172:I172)</f>
        <v>11560.15</v>
      </c>
      <c r="K172" s="8"/>
      <c r="L172" s="8"/>
    </row>
    <row r="173" spans="1:12" ht="15.75" thickTop="1">
      <c r="A173" s="8"/>
      <c r="B173" s="8"/>
      <c r="C173" s="8"/>
      <c r="D173" s="20"/>
      <c r="E173" s="20"/>
      <c r="F173" s="15"/>
      <c r="G173" s="15"/>
      <c r="H173" s="15"/>
      <c r="I173" s="15"/>
      <c r="J173" s="20"/>
      <c r="K173" s="8"/>
      <c r="L173" s="8"/>
    </row>
    <row r="174" spans="1:12">
      <c r="A174" s="8"/>
      <c r="B174" s="8"/>
      <c r="C174" s="8"/>
      <c r="D174" s="20"/>
      <c r="E174" s="20"/>
      <c r="F174" s="15"/>
      <c r="G174" s="15"/>
      <c r="H174" s="15"/>
      <c r="I174" s="15"/>
      <c r="J174" s="20"/>
      <c r="K174" s="8"/>
      <c r="L174" s="8"/>
    </row>
    <row r="175" spans="1:12" ht="15.75" thickBot="1">
      <c r="A175" s="8">
        <v>47</v>
      </c>
      <c r="B175" s="8" t="s">
        <v>41</v>
      </c>
      <c r="C175" s="8" t="s">
        <v>12</v>
      </c>
      <c r="D175" s="29">
        <f>6228.71+1552.8</f>
        <v>7781.51</v>
      </c>
      <c r="E175" s="29">
        <v>166.8</v>
      </c>
      <c r="F175" s="28">
        <v>0.25</v>
      </c>
      <c r="G175" s="28">
        <v>0</v>
      </c>
      <c r="H175" s="28">
        <v>0</v>
      </c>
      <c r="I175" s="28">
        <v>0</v>
      </c>
      <c r="J175" s="29">
        <f>SUM(D175:I175)</f>
        <v>7948.56</v>
      </c>
      <c r="K175" s="8"/>
      <c r="L175" s="8"/>
    </row>
    <row r="176" spans="1:12">
      <c r="A176" s="8"/>
      <c r="B176" s="8"/>
      <c r="C176" s="8"/>
      <c r="D176" s="20"/>
      <c r="E176" s="20"/>
      <c r="F176" s="15"/>
      <c r="G176" s="15"/>
      <c r="H176" s="15"/>
      <c r="I176" s="15"/>
      <c r="J176" s="20"/>
      <c r="K176" s="8"/>
      <c r="L176" s="8"/>
    </row>
    <row r="177" spans="1:12" ht="15.75" thickBot="1">
      <c r="A177" s="8"/>
      <c r="B177" s="8"/>
      <c r="C177" s="8" t="s">
        <v>10</v>
      </c>
      <c r="D177" s="31">
        <f t="shared" ref="D177:I177" si="26">SUM(D175:D176)</f>
        <v>7781.51</v>
      </c>
      <c r="E177" s="31">
        <f t="shared" si="26"/>
        <v>166.8</v>
      </c>
      <c r="F177" s="30">
        <f t="shared" si="26"/>
        <v>0.25</v>
      </c>
      <c r="G177" s="30">
        <f t="shared" si="26"/>
        <v>0</v>
      </c>
      <c r="H177" s="30">
        <f t="shared" si="26"/>
        <v>0</v>
      </c>
      <c r="I177" s="30">
        <f t="shared" si="26"/>
        <v>0</v>
      </c>
      <c r="J177" s="31">
        <f>SUM(D177:I177)</f>
        <v>7948.56</v>
      </c>
      <c r="K177" s="8"/>
      <c r="L177" s="8"/>
    </row>
    <row r="178" spans="1:12" ht="15.75" thickTop="1">
      <c r="A178" s="8"/>
      <c r="B178" s="8"/>
      <c r="C178" s="8"/>
      <c r="D178" s="20"/>
      <c r="E178" s="20"/>
      <c r="F178" s="15"/>
      <c r="G178" s="15"/>
      <c r="H178" s="15"/>
      <c r="I178" s="15"/>
      <c r="J178" s="20"/>
      <c r="K178" s="8"/>
      <c r="L178" s="8"/>
    </row>
    <row r="179" spans="1:12">
      <c r="A179" s="8"/>
      <c r="B179" s="8"/>
      <c r="C179" s="8"/>
      <c r="D179" s="20"/>
      <c r="E179" s="20"/>
      <c r="F179" s="15"/>
      <c r="G179" s="15"/>
      <c r="H179" s="15"/>
      <c r="I179" s="15"/>
      <c r="J179" s="20"/>
      <c r="K179" s="8"/>
      <c r="L179" s="8"/>
    </row>
    <row r="180" spans="1:12" ht="15.75" thickBot="1">
      <c r="A180" s="8">
        <v>48</v>
      </c>
      <c r="B180" s="8" t="s">
        <v>42</v>
      </c>
      <c r="C180" s="8" t="s">
        <v>12</v>
      </c>
      <c r="D180" s="29">
        <f>8148.6+2081.27</f>
        <v>10229.870000000001</v>
      </c>
      <c r="E180" s="34">
        <v>0</v>
      </c>
      <c r="F180" s="28">
        <v>0</v>
      </c>
      <c r="G180" s="28">
        <v>0</v>
      </c>
      <c r="H180" s="28">
        <v>0</v>
      </c>
      <c r="I180" s="28">
        <v>0</v>
      </c>
      <c r="J180" s="29">
        <f>SUM(D180:I180)</f>
        <v>10229.870000000001</v>
      </c>
      <c r="K180" s="8"/>
      <c r="L180" s="8"/>
    </row>
    <row r="181" spans="1:12">
      <c r="A181" s="8"/>
      <c r="B181" s="8"/>
      <c r="C181" s="8"/>
      <c r="D181" s="20"/>
      <c r="E181" s="35"/>
      <c r="F181" s="15"/>
      <c r="G181" s="15"/>
      <c r="H181" s="15"/>
      <c r="I181" s="15"/>
      <c r="J181" s="20"/>
      <c r="K181" s="8"/>
      <c r="L181" s="8"/>
    </row>
    <row r="182" spans="1:12" ht="15.75" thickBot="1">
      <c r="A182" s="8"/>
      <c r="B182" s="8"/>
      <c r="C182" s="8"/>
      <c r="D182" s="31">
        <f t="shared" ref="D182:I182" si="27">SUM(D180:D181)</f>
        <v>10229.870000000001</v>
      </c>
      <c r="E182" s="44">
        <f t="shared" si="27"/>
        <v>0</v>
      </c>
      <c r="F182" s="30">
        <f t="shared" si="27"/>
        <v>0</v>
      </c>
      <c r="G182" s="30">
        <f t="shared" si="27"/>
        <v>0</v>
      </c>
      <c r="H182" s="30">
        <f t="shared" si="27"/>
        <v>0</v>
      </c>
      <c r="I182" s="30">
        <f t="shared" si="27"/>
        <v>0</v>
      </c>
      <c r="J182" s="31">
        <f>SUM(D182:I182)</f>
        <v>10229.870000000001</v>
      </c>
      <c r="K182" s="8"/>
      <c r="L182" s="8"/>
    </row>
    <row r="183" spans="1:12" ht="15.75" thickTop="1">
      <c r="A183" s="8"/>
      <c r="B183" s="8"/>
      <c r="C183" s="8"/>
      <c r="D183" s="20"/>
      <c r="E183" s="20"/>
      <c r="F183" s="15"/>
      <c r="G183" s="15"/>
      <c r="H183" s="15"/>
      <c r="I183" s="15"/>
      <c r="J183" s="20"/>
      <c r="K183" s="8"/>
      <c r="L183" s="8"/>
    </row>
    <row r="184" spans="1:12">
      <c r="A184" s="8"/>
      <c r="B184" s="8"/>
      <c r="C184" s="8"/>
      <c r="D184" s="20"/>
      <c r="E184" s="20"/>
      <c r="F184" s="15"/>
      <c r="G184" s="15"/>
      <c r="H184" s="15"/>
      <c r="I184" s="15"/>
      <c r="J184" s="20"/>
      <c r="K184" s="8"/>
      <c r="L184" s="8"/>
    </row>
    <row r="185" spans="1:12" ht="15.75" thickBot="1">
      <c r="A185" s="8">
        <v>49</v>
      </c>
      <c r="B185" s="8" t="s">
        <v>43</v>
      </c>
      <c r="C185" s="8" t="s">
        <v>12</v>
      </c>
      <c r="D185" s="29">
        <f>20826.02+4641.41</f>
        <v>25467.43</v>
      </c>
      <c r="E185" s="29">
        <v>169.11</v>
      </c>
      <c r="F185" s="28">
        <v>61.56</v>
      </c>
      <c r="G185" s="28">
        <v>0</v>
      </c>
      <c r="H185" s="28">
        <v>0</v>
      </c>
      <c r="I185" s="28">
        <v>0</v>
      </c>
      <c r="J185" s="29">
        <f>SUM(D185:I185)</f>
        <v>25698.100000000002</v>
      </c>
      <c r="K185" s="8"/>
      <c r="L185" s="8"/>
    </row>
    <row r="186" spans="1:12">
      <c r="A186" s="8"/>
      <c r="B186" s="8"/>
      <c r="C186" s="8"/>
      <c r="D186" s="20"/>
      <c r="E186" s="20"/>
      <c r="F186" s="15"/>
      <c r="G186" s="15"/>
      <c r="H186" s="15"/>
      <c r="I186" s="15"/>
      <c r="J186" s="20"/>
      <c r="K186" s="8"/>
      <c r="L186" s="8"/>
    </row>
    <row r="187" spans="1:12" ht="15.75" thickBot="1">
      <c r="A187" s="8"/>
      <c r="B187" s="8"/>
      <c r="C187" s="8" t="s">
        <v>10</v>
      </c>
      <c r="D187" s="31">
        <f t="shared" ref="D187:I187" si="28">SUM(D185:D186)</f>
        <v>25467.43</v>
      </c>
      <c r="E187" s="31">
        <f t="shared" si="28"/>
        <v>169.11</v>
      </c>
      <c r="F187" s="30">
        <f t="shared" si="28"/>
        <v>61.56</v>
      </c>
      <c r="G187" s="30">
        <f t="shared" si="28"/>
        <v>0</v>
      </c>
      <c r="H187" s="30">
        <f t="shared" si="28"/>
        <v>0</v>
      </c>
      <c r="I187" s="30">
        <f t="shared" si="28"/>
        <v>0</v>
      </c>
      <c r="J187" s="31">
        <f>SUM(D187:I187)</f>
        <v>25698.100000000002</v>
      </c>
      <c r="K187" s="8"/>
      <c r="L187" s="8"/>
    </row>
    <row r="188" spans="1:12" ht="15.75" thickTop="1">
      <c r="A188" s="8"/>
      <c r="B188" s="8"/>
      <c r="C188" s="8"/>
      <c r="D188" s="20"/>
      <c r="E188" s="20"/>
      <c r="F188" s="15"/>
      <c r="G188" s="15"/>
      <c r="H188" s="15"/>
      <c r="I188" s="15"/>
      <c r="J188" s="20"/>
      <c r="K188" s="8"/>
      <c r="L188" s="8"/>
    </row>
    <row r="189" spans="1:12">
      <c r="A189" s="8"/>
      <c r="B189" s="8"/>
      <c r="C189" s="8"/>
      <c r="D189" s="20"/>
      <c r="E189" s="20"/>
      <c r="F189" s="15"/>
      <c r="G189" s="15"/>
      <c r="H189" s="15"/>
      <c r="I189" s="15"/>
      <c r="J189" s="20"/>
      <c r="K189" s="8"/>
      <c r="L189" s="8"/>
    </row>
    <row r="190" spans="1:12">
      <c r="A190" s="8">
        <v>50</v>
      </c>
      <c r="B190" s="8" t="s">
        <v>44</v>
      </c>
      <c r="C190" s="8" t="s">
        <v>12</v>
      </c>
      <c r="D190" s="20">
        <f>4063.7+1176.82</f>
        <v>5240.5199999999995</v>
      </c>
      <c r="E190" s="20">
        <v>54.87</v>
      </c>
      <c r="F190" s="15">
        <v>62.63</v>
      </c>
      <c r="G190" s="15">
        <v>0</v>
      </c>
      <c r="H190" s="15">
        <v>0</v>
      </c>
      <c r="I190" s="15">
        <v>0</v>
      </c>
      <c r="J190" s="20">
        <f>SUM(D190:I190)</f>
        <v>5358.0199999999995</v>
      </c>
      <c r="K190" s="8"/>
      <c r="L190" s="8"/>
    </row>
    <row r="191" spans="1:12" ht="15.75" thickBot="1">
      <c r="A191" s="8"/>
      <c r="B191" s="8"/>
      <c r="C191" s="8" t="s">
        <v>13</v>
      </c>
      <c r="D191" s="29">
        <f>69.73+20.19</f>
        <v>89.92</v>
      </c>
      <c r="E191" s="29">
        <v>0.91</v>
      </c>
      <c r="F191" s="28">
        <v>1.04</v>
      </c>
      <c r="G191" s="28">
        <v>0</v>
      </c>
      <c r="H191" s="28">
        <v>0</v>
      </c>
      <c r="I191" s="28">
        <v>0</v>
      </c>
      <c r="J191" s="29">
        <f>SUM(D191:I191)</f>
        <v>91.87</v>
      </c>
      <c r="K191" s="8"/>
      <c r="L191" s="8"/>
    </row>
    <row r="192" spans="1:12">
      <c r="A192" s="8"/>
      <c r="B192" s="8"/>
      <c r="C192" s="8"/>
      <c r="D192" s="20"/>
      <c r="E192" s="20"/>
      <c r="F192" s="15"/>
      <c r="G192" s="15"/>
      <c r="H192" s="15"/>
      <c r="I192" s="15"/>
      <c r="J192" s="20"/>
      <c r="K192" s="8"/>
      <c r="L192" s="8"/>
    </row>
    <row r="193" spans="1:12" ht="15.75" thickBot="1">
      <c r="A193" s="8"/>
      <c r="B193" s="8"/>
      <c r="C193" s="8" t="s">
        <v>10</v>
      </c>
      <c r="D193" s="31">
        <f t="shared" ref="D193:I193" si="29">SUM(D190:D191)</f>
        <v>5330.44</v>
      </c>
      <c r="E193" s="31">
        <f t="shared" si="29"/>
        <v>55.779999999999994</v>
      </c>
      <c r="F193" s="30">
        <f t="shared" si="29"/>
        <v>63.67</v>
      </c>
      <c r="G193" s="30">
        <f t="shared" si="29"/>
        <v>0</v>
      </c>
      <c r="H193" s="30">
        <f t="shared" si="29"/>
        <v>0</v>
      </c>
      <c r="I193" s="30">
        <f t="shared" si="29"/>
        <v>0</v>
      </c>
      <c r="J193" s="31">
        <f>SUM(D193:I193)</f>
        <v>5449.8899999999994</v>
      </c>
      <c r="K193" s="8"/>
      <c r="L193" s="8"/>
    </row>
    <row r="194" spans="1:12" ht="15.75" thickTop="1">
      <c r="A194" s="8"/>
      <c r="B194" s="8"/>
      <c r="C194" s="8"/>
      <c r="D194" s="20"/>
      <c r="E194" s="20"/>
      <c r="F194" s="15"/>
      <c r="G194" s="15"/>
      <c r="H194" s="15"/>
      <c r="I194" s="15"/>
      <c r="J194" s="20"/>
      <c r="K194" s="8"/>
      <c r="L194" s="8"/>
    </row>
    <row r="195" spans="1:12">
      <c r="A195" s="8"/>
      <c r="B195" s="8"/>
      <c r="C195" s="8"/>
      <c r="D195" s="20"/>
      <c r="E195" s="20"/>
      <c r="F195" s="15"/>
      <c r="G195" s="15"/>
      <c r="H195" s="15"/>
      <c r="I195" s="15"/>
      <c r="J195" s="20"/>
      <c r="K195" s="8"/>
      <c r="L195" s="8"/>
    </row>
    <row r="196" spans="1:12">
      <c r="A196" s="8">
        <v>51</v>
      </c>
      <c r="B196" s="8" t="s">
        <v>45</v>
      </c>
      <c r="C196" s="8" t="s">
        <v>12</v>
      </c>
      <c r="D196" s="20">
        <f>6361.53+2429.39</f>
        <v>8790.92</v>
      </c>
      <c r="E196" s="20">
        <v>66.48</v>
      </c>
      <c r="F196" s="15">
        <v>0</v>
      </c>
      <c r="G196" s="15">
        <v>0</v>
      </c>
      <c r="H196" s="15">
        <v>0</v>
      </c>
      <c r="I196" s="15">
        <v>0</v>
      </c>
      <c r="J196" s="20">
        <f>SUM(D196:I196)</f>
        <v>8857.4</v>
      </c>
      <c r="K196" s="8"/>
      <c r="L196" s="8"/>
    </row>
    <row r="197" spans="1:12" hidden="1">
      <c r="A197" s="8"/>
      <c r="B197" s="8"/>
      <c r="C197" s="8" t="s">
        <v>13</v>
      </c>
      <c r="D197" s="20"/>
      <c r="E197" s="20"/>
      <c r="F197" s="15"/>
      <c r="G197" s="15"/>
      <c r="H197" s="15"/>
      <c r="I197" s="15"/>
      <c r="J197" s="20">
        <f>SUM(D197:I197)</f>
        <v>0</v>
      </c>
      <c r="K197" s="8"/>
      <c r="L197" s="8"/>
    </row>
    <row r="198" spans="1:12" ht="15.75" thickBot="1">
      <c r="A198" s="8"/>
      <c r="B198" s="8"/>
      <c r="C198" s="8" t="s">
        <v>46</v>
      </c>
      <c r="D198" s="29">
        <f>127.37+48.64</f>
        <v>176.01</v>
      </c>
      <c r="E198" s="29">
        <v>1.33</v>
      </c>
      <c r="F198" s="28">
        <v>0</v>
      </c>
      <c r="G198" s="28">
        <v>0</v>
      </c>
      <c r="H198" s="28">
        <v>0</v>
      </c>
      <c r="I198" s="28">
        <v>0</v>
      </c>
      <c r="J198" s="29">
        <f>SUM(D198:I198)</f>
        <v>177.34</v>
      </c>
      <c r="K198" s="8"/>
      <c r="L198" s="8"/>
    </row>
    <row r="199" spans="1:12">
      <c r="A199" s="8"/>
      <c r="B199" s="8"/>
      <c r="C199" s="8"/>
      <c r="D199" s="20"/>
      <c r="E199" s="20"/>
      <c r="F199" s="15"/>
      <c r="G199" s="15"/>
      <c r="H199" s="15"/>
      <c r="I199" s="15"/>
      <c r="J199" s="20"/>
      <c r="K199" s="8"/>
      <c r="L199" s="8"/>
    </row>
    <row r="200" spans="1:12" ht="15.75" thickBot="1">
      <c r="A200" s="8"/>
      <c r="B200" s="8"/>
      <c r="C200" s="8" t="s">
        <v>10</v>
      </c>
      <c r="D200" s="31">
        <f t="shared" ref="D200:I200" si="30">SUM(D196:D198)</f>
        <v>8966.93</v>
      </c>
      <c r="E200" s="31">
        <f t="shared" si="30"/>
        <v>67.81</v>
      </c>
      <c r="F200" s="30">
        <f t="shared" si="30"/>
        <v>0</v>
      </c>
      <c r="G200" s="30">
        <f t="shared" si="30"/>
        <v>0</v>
      </c>
      <c r="H200" s="30">
        <f t="shared" si="30"/>
        <v>0</v>
      </c>
      <c r="I200" s="30">
        <f t="shared" si="30"/>
        <v>0</v>
      </c>
      <c r="J200" s="31">
        <f>SUM(D200:I200)</f>
        <v>9034.74</v>
      </c>
      <c r="K200" s="8"/>
      <c r="L200" s="8"/>
    </row>
    <row r="201" spans="1:12" ht="15.75" thickTop="1">
      <c r="A201" s="8"/>
      <c r="B201" s="8"/>
      <c r="C201" s="8"/>
      <c r="D201" s="20"/>
      <c r="E201" s="20"/>
      <c r="F201" s="15"/>
      <c r="G201" s="15"/>
      <c r="H201" s="15"/>
      <c r="I201" s="15"/>
      <c r="J201" s="20"/>
      <c r="K201" s="8"/>
      <c r="L201" s="8"/>
    </row>
    <row r="202" spans="1:12">
      <c r="A202" s="8"/>
      <c r="B202" s="8"/>
      <c r="C202" s="8"/>
      <c r="D202" s="20"/>
      <c r="E202" s="20"/>
      <c r="F202" s="15"/>
      <c r="G202" s="15"/>
      <c r="H202" s="15"/>
      <c r="I202" s="15"/>
      <c r="J202" s="20"/>
      <c r="K202" s="8"/>
      <c r="L202" s="8"/>
    </row>
    <row r="203" spans="1:12">
      <c r="A203" s="8">
        <v>52</v>
      </c>
      <c r="B203" s="8" t="s">
        <v>47</v>
      </c>
      <c r="C203" s="8" t="s">
        <v>12</v>
      </c>
      <c r="D203" s="25">
        <f>8345.45+2309.94</f>
        <v>10655.390000000001</v>
      </c>
      <c r="E203" s="45">
        <v>225.87</v>
      </c>
      <c r="F203" s="24">
        <v>0.56999999999999995</v>
      </c>
      <c r="G203" s="24">
        <v>0</v>
      </c>
      <c r="H203" s="24">
        <v>0</v>
      </c>
      <c r="I203" s="24">
        <v>0</v>
      </c>
      <c r="J203" s="25">
        <f>SUM(D203:I203)</f>
        <v>10881.830000000002</v>
      </c>
      <c r="K203" s="8"/>
      <c r="L203" s="8"/>
    </row>
    <row r="204" spans="1:12" ht="15.75" hidden="1" thickBot="1">
      <c r="A204" s="8"/>
      <c r="B204" s="8"/>
      <c r="C204" s="8" t="s">
        <v>13</v>
      </c>
      <c r="D204" s="29"/>
      <c r="E204" s="34"/>
      <c r="F204" s="28"/>
      <c r="G204" s="28"/>
      <c r="H204" s="28"/>
      <c r="I204" s="28"/>
      <c r="J204" s="34">
        <v>0</v>
      </c>
      <c r="K204" s="8"/>
      <c r="L204" s="8"/>
    </row>
    <row r="205" spans="1:12">
      <c r="A205" s="8"/>
      <c r="B205" s="8"/>
      <c r="C205" s="8"/>
      <c r="D205" s="20"/>
      <c r="E205" s="35"/>
      <c r="F205" s="15"/>
      <c r="G205" s="15"/>
      <c r="H205" s="15"/>
      <c r="I205" s="15"/>
      <c r="J205" s="20"/>
      <c r="K205" s="8"/>
      <c r="L205" s="8"/>
    </row>
    <row r="206" spans="1:12" ht="15.75" thickBot="1">
      <c r="A206" s="8"/>
      <c r="B206" s="8"/>
      <c r="C206" s="8" t="s">
        <v>10</v>
      </c>
      <c r="D206" s="31">
        <f t="shared" ref="D206:I206" si="31">SUM(D203:D204)</f>
        <v>10655.390000000001</v>
      </c>
      <c r="E206" s="44">
        <f t="shared" si="31"/>
        <v>225.87</v>
      </c>
      <c r="F206" s="30">
        <f t="shared" si="31"/>
        <v>0.56999999999999995</v>
      </c>
      <c r="G206" s="30">
        <f t="shared" si="31"/>
        <v>0</v>
      </c>
      <c r="H206" s="30">
        <f t="shared" si="31"/>
        <v>0</v>
      </c>
      <c r="I206" s="30">
        <f t="shared" si="31"/>
        <v>0</v>
      </c>
      <c r="J206" s="31">
        <f>SUM(D206:I206)</f>
        <v>10881.830000000002</v>
      </c>
      <c r="K206" s="8"/>
      <c r="L206" s="8"/>
    </row>
    <row r="207" spans="1:12" ht="15.75" thickTop="1">
      <c r="A207" s="8"/>
      <c r="B207" s="8"/>
      <c r="C207" s="8"/>
      <c r="D207" s="20"/>
      <c r="E207" s="20"/>
      <c r="F207" s="15"/>
      <c r="G207" s="15"/>
      <c r="H207" s="15"/>
      <c r="I207" s="15"/>
      <c r="J207" s="20"/>
      <c r="K207" s="8"/>
      <c r="L207" s="8"/>
    </row>
    <row r="208" spans="1:12">
      <c r="A208" s="8"/>
      <c r="B208" s="8"/>
      <c r="C208" s="8"/>
      <c r="D208" s="20"/>
      <c r="E208" s="20"/>
      <c r="F208" s="15"/>
      <c r="G208" s="15"/>
      <c r="H208" s="15"/>
      <c r="I208" s="15"/>
      <c r="J208" s="20"/>
      <c r="K208" s="8"/>
      <c r="L208" s="8"/>
    </row>
    <row r="209" spans="1:12">
      <c r="A209" s="8">
        <v>53</v>
      </c>
      <c r="B209" s="8" t="s">
        <v>48</v>
      </c>
      <c r="C209" s="8" t="s">
        <v>12</v>
      </c>
      <c r="D209" s="20">
        <f>19451.59+4304.88</f>
        <v>23756.47</v>
      </c>
      <c r="E209" s="20">
        <v>0</v>
      </c>
      <c r="F209" s="15">
        <v>0</v>
      </c>
      <c r="G209" s="15">
        <v>0</v>
      </c>
      <c r="H209" s="15">
        <v>0</v>
      </c>
      <c r="I209" s="15">
        <v>0</v>
      </c>
      <c r="J209" s="20">
        <f>SUM(D209:I209)</f>
        <v>23756.47</v>
      </c>
      <c r="K209" s="8"/>
      <c r="L209" s="8"/>
    </row>
    <row r="210" spans="1:12">
      <c r="A210" s="8"/>
      <c r="B210" s="8"/>
      <c r="C210" s="8" t="s">
        <v>35</v>
      </c>
      <c r="D210" s="20">
        <f>1080.64+239.16</f>
        <v>1319.8000000000002</v>
      </c>
      <c r="E210" s="20">
        <v>0</v>
      </c>
      <c r="F210" s="15">
        <v>0</v>
      </c>
      <c r="G210" s="15">
        <v>0</v>
      </c>
      <c r="H210" s="15">
        <v>0</v>
      </c>
      <c r="I210" s="15">
        <v>0</v>
      </c>
      <c r="J210" s="20">
        <f>SUM(D210:I210)</f>
        <v>1319.8000000000002</v>
      </c>
      <c r="K210" s="8"/>
      <c r="L210" s="8"/>
    </row>
    <row r="211" spans="1:12">
      <c r="A211" s="8"/>
      <c r="B211" s="8"/>
      <c r="C211" s="8" t="s">
        <v>97</v>
      </c>
      <c r="D211" s="20">
        <f>302.58+66.96</f>
        <v>369.53999999999996</v>
      </c>
      <c r="E211" s="20">
        <v>0</v>
      </c>
      <c r="F211" s="15">
        <v>0</v>
      </c>
      <c r="G211" s="15">
        <v>0</v>
      </c>
      <c r="H211" s="15">
        <v>0</v>
      </c>
      <c r="I211" s="15">
        <v>0</v>
      </c>
      <c r="J211" s="20">
        <f>SUM(D211:I211)</f>
        <v>369.53999999999996</v>
      </c>
      <c r="K211" s="8"/>
      <c r="L211" s="8"/>
    </row>
    <row r="212" spans="1:12" ht="15.75" thickBot="1">
      <c r="A212" s="8"/>
      <c r="B212" s="8"/>
      <c r="C212" s="8" t="s">
        <v>98</v>
      </c>
      <c r="D212" s="29">
        <f>3241.93+717.48</f>
        <v>3959.41</v>
      </c>
      <c r="E212" s="29">
        <v>0</v>
      </c>
      <c r="F212" s="28">
        <v>0</v>
      </c>
      <c r="G212" s="28">
        <v>0</v>
      </c>
      <c r="H212" s="28">
        <v>0</v>
      </c>
      <c r="I212" s="28">
        <v>0</v>
      </c>
      <c r="J212" s="29">
        <f>SUM(D212:I212)</f>
        <v>3959.41</v>
      </c>
      <c r="K212" s="8"/>
      <c r="L212" s="8"/>
    </row>
    <row r="213" spans="1:12">
      <c r="A213" s="8"/>
      <c r="B213" s="8"/>
      <c r="C213" s="8"/>
      <c r="D213" s="20"/>
      <c r="E213" s="20"/>
      <c r="F213" s="15"/>
      <c r="G213" s="15"/>
      <c r="H213" s="15"/>
      <c r="I213" s="15"/>
      <c r="J213" s="20"/>
      <c r="K213" s="8"/>
      <c r="L213" s="8"/>
    </row>
    <row r="214" spans="1:12" ht="15.75" thickBot="1">
      <c r="A214" s="8"/>
      <c r="B214" s="8"/>
      <c r="C214" s="8" t="s">
        <v>10</v>
      </c>
      <c r="D214" s="31">
        <f>SUM(D209:D213)</f>
        <v>29405.22</v>
      </c>
      <c r="E214" s="31">
        <f t="shared" ref="E214:J214" si="32">SUM(E209:E213)</f>
        <v>0</v>
      </c>
      <c r="F214" s="30">
        <f t="shared" si="32"/>
        <v>0</v>
      </c>
      <c r="G214" s="30">
        <f t="shared" si="32"/>
        <v>0</v>
      </c>
      <c r="H214" s="30">
        <f t="shared" si="32"/>
        <v>0</v>
      </c>
      <c r="I214" s="30">
        <f t="shared" si="32"/>
        <v>0</v>
      </c>
      <c r="J214" s="30">
        <f t="shared" si="32"/>
        <v>29405.22</v>
      </c>
      <c r="K214" s="8"/>
      <c r="L214" s="8"/>
    </row>
    <row r="215" spans="1:12" ht="15.75" thickTop="1">
      <c r="A215" s="8"/>
      <c r="B215" s="8"/>
      <c r="C215" s="8"/>
      <c r="D215" s="20"/>
      <c r="E215" s="20"/>
      <c r="F215" s="15"/>
      <c r="G215" s="15"/>
      <c r="H215" s="15"/>
      <c r="I215" s="15"/>
      <c r="J215" s="20"/>
      <c r="K215" s="8"/>
      <c r="L215" s="8"/>
    </row>
    <row r="216" spans="1:12">
      <c r="A216" s="8"/>
      <c r="B216" s="8"/>
      <c r="C216" s="8"/>
      <c r="D216" s="20"/>
      <c r="E216" s="20"/>
      <c r="F216" s="15"/>
      <c r="G216" s="15"/>
      <c r="H216" s="15"/>
      <c r="I216" s="15"/>
      <c r="J216" s="20"/>
      <c r="K216" s="8"/>
      <c r="L216" s="8"/>
    </row>
    <row r="217" spans="1:12">
      <c r="A217" s="8">
        <v>54</v>
      </c>
      <c r="B217" s="8" t="s">
        <v>49</v>
      </c>
      <c r="C217" s="8" t="s">
        <v>12</v>
      </c>
      <c r="D217" s="25">
        <f>6678.74+1620.01</f>
        <v>8298.75</v>
      </c>
      <c r="E217" s="45">
        <v>0</v>
      </c>
      <c r="F217" s="24">
        <v>0</v>
      </c>
      <c r="G217" s="24">
        <v>0</v>
      </c>
      <c r="H217" s="24">
        <v>0</v>
      </c>
      <c r="I217" s="24">
        <v>0</v>
      </c>
      <c r="J217" s="25">
        <f>SUM(D217:I217)</f>
        <v>8298.75</v>
      </c>
      <c r="K217" s="8"/>
      <c r="L217" s="8"/>
    </row>
    <row r="218" spans="1:12" ht="15.75" hidden="1" thickBot="1">
      <c r="A218" s="8"/>
      <c r="B218" s="8"/>
      <c r="C218" s="8" t="s">
        <v>104</v>
      </c>
      <c r="D218" s="29"/>
      <c r="E218" s="34"/>
      <c r="F218" s="28"/>
      <c r="G218" s="28"/>
      <c r="H218" s="28"/>
      <c r="I218" s="28"/>
      <c r="J218" s="29">
        <f>SUM(D218:I218)</f>
        <v>0</v>
      </c>
      <c r="K218" s="8"/>
      <c r="L218" s="8"/>
    </row>
    <row r="219" spans="1:12">
      <c r="A219" s="8"/>
      <c r="B219" s="8"/>
      <c r="C219" s="8"/>
      <c r="D219" s="20"/>
      <c r="E219" s="35"/>
      <c r="F219" s="15"/>
      <c r="G219" s="15"/>
      <c r="H219" s="15"/>
      <c r="I219" s="15"/>
      <c r="J219" s="20"/>
      <c r="K219" s="8"/>
      <c r="L219" s="8"/>
    </row>
    <row r="220" spans="1:12" ht="15.75" thickBot="1">
      <c r="A220" s="8"/>
      <c r="B220" s="8"/>
      <c r="C220" s="8" t="s">
        <v>10</v>
      </c>
      <c r="D220" s="31">
        <f t="shared" ref="D220:I220" si="33">SUM(D217:D219)</f>
        <v>8298.75</v>
      </c>
      <c r="E220" s="44">
        <f t="shared" si="33"/>
        <v>0</v>
      </c>
      <c r="F220" s="30">
        <f t="shared" si="33"/>
        <v>0</v>
      </c>
      <c r="G220" s="30">
        <f t="shared" si="33"/>
        <v>0</v>
      </c>
      <c r="H220" s="30">
        <f t="shared" si="33"/>
        <v>0</v>
      </c>
      <c r="I220" s="30">
        <f t="shared" si="33"/>
        <v>0</v>
      </c>
      <c r="J220" s="31">
        <f>SUM(D220:I220)</f>
        <v>8298.75</v>
      </c>
      <c r="K220" s="8"/>
      <c r="L220" s="8"/>
    </row>
    <row r="221" spans="1:12" ht="15.75" thickTop="1">
      <c r="A221" s="8"/>
      <c r="B221" s="8"/>
      <c r="C221" s="8"/>
      <c r="D221" s="20"/>
      <c r="E221" s="20"/>
      <c r="F221" s="15"/>
      <c r="G221" s="15"/>
      <c r="H221" s="15"/>
      <c r="I221" s="15"/>
      <c r="J221" s="20"/>
      <c r="K221" s="8"/>
      <c r="L221" s="8"/>
    </row>
    <row r="222" spans="1:12">
      <c r="A222" s="8"/>
      <c r="B222" s="8"/>
      <c r="C222" s="8"/>
      <c r="D222" s="20"/>
      <c r="E222" s="20"/>
      <c r="F222" s="15"/>
      <c r="G222" s="15"/>
      <c r="H222" s="15"/>
      <c r="I222" s="15"/>
      <c r="J222" s="20"/>
      <c r="K222" s="8"/>
      <c r="L222" s="8"/>
    </row>
    <row r="223" spans="1:12">
      <c r="A223" s="8">
        <v>55</v>
      </c>
      <c r="B223" s="8" t="s">
        <v>50</v>
      </c>
      <c r="C223" s="8" t="s">
        <v>12</v>
      </c>
      <c r="D223" s="20">
        <f>19280.6+4809.25</f>
        <v>24089.85</v>
      </c>
      <c r="E223" s="20">
        <v>80.930000000000007</v>
      </c>
      <c r="F223" s="15">
        <v>43.34</v>
      </c>
      <c r="G223" s="15">
        <v>0</v>
      </c>
      <c r="H223" s="15">
        <v>0</v>
      </c>
      <c r="I223" s="15">
        <v>0</v>
      </c>
      <c r="J223" s="20">
        <f>SUM(D223:I223)</f>
        <v>24214.12</v>
      </c>
      <c r="K223" s="8"/>
      <c r="L223" s="8"/>
    </row>
    <row r="224" spans="1:12" ht="15.75" thickBot="1">
      <c r="A224" s="8"/>
      <c r="B224" s="8"/>
      <c r="C224" s="8" t="s">
        <v>13</v>
      </c>
      <c r="D224" s="29">
        <f>514.15+128.25</f>
        <v>642.4</v>
      </c>
      <c r="E224" s="29">
        <v>2.38</v>
      </c>
      <c r="F224" s="28">
        <v>0.99</v>
      </c>
      <c r="G224" s="28">
        <v>0</v>
      </c>
      <c r="H224" s="28">
        <v>0</v>
      </c>
      <c r="I224" s="28">
        <v>0</v>
      </c>
      <c r="J224" s="29">
        <f>SUM(D224:I224)</f>
        <v>645.77</v>
      </c>
      <c r="K224" s="8"/>
      <c r="L224" s="8"/>
    </row>
    <row r="225" spans="1:12">
      <c r="A225" s="8"/>
      <c r="B225" s="8"/>
      <c r="C225" s="8"/>
      <c r="D225" s="20"/>
      <c r="E225" s="20"/>
      <c r="F225" s="15"/>
      <c r="G225" s="15"/>
      <c r="H225" s="15"/>
      <c r="I225" s="15"/>
      <c r="J225" s="20"/>
      <c r="K225" s="8"/>
      <c r="L225" s="8"/>
    </row>
    <row r="226" spans="1:12" ht="15.75" thickBot="1">
      <c r="A226" s="8"/>
      <c r="B226" s="8"/>
      <c r="C226" s="8" t="s">
        <v>10</v>
      </c>
      <c r="D226" s="31">
        <f t="shared" ref="D226:I226" si="34">SUM(D223:D224)</f>
        <v>24732.25</v>
      </c>
      <c r="E226" s="31">
        <f t="shared" si="34"/>
        <v>83.31</v>
      </c>
      <c r="F226" s="30">
        <f t="shared" si="34"/>
        <v>44.330000000000005</v>
      </c>
      <c r="G226" s="30">
        <f t="shared" si="34"/>
        <v>0</v>
      </c>
      <c r="H226" s="30">
        <f t="shared" si="34"/>
        <v>0</v>
      </c>
      <c r="I226" s="30">
        <f t="shared" si="34"/>
        <v>0</v>
      </c>
      <c r="J226" s="31">
        <f>SUM(D226:I226)</f>
        <v>24859.890000000003</v>
      </c>
      <c r="K226" s="8"/>
      <c r="L226" s="8"/>
    </row>
    <row r="227" spans="1:12" ht="15.75" thickTop="1">
      <c r="A227" s="8"/>
      <c r="B227" s="8"/>
      <c r="C227" s="8"/>
      <c r="D227" s="20"/>
      <c r="E227" s="20"/>
      <c r="F227" s="15"/>
      <c r="G227" s="15"/>
      <c r="H227" s="15"/>
      <c r="I227" s="15"/>
      <c r="J227" s="20"/>
      <c r="K227" s="8"/>
      <c r="L227" s="8"/>
    </row>
    <row r="228" spans="1:12">
      <c r="A228" s="8"/>
      <c r="B228" s="8"/>
      <c r="C228" s="8"/>
      <c r="D228" s="20"/>
      <c r="E228" s="20"/>
      <c r="F228" s="15"/>
      <c r="G228" s="15"/>
      <c r="H228" s="15"/>
      <c r="I228" s="15"/>
      <c r="J228" s="20"/>
      <c r="K228" s="8"/>
      <c r="L228" s="8"/>
    </row>
    <row r="229" spans="1:12">
      <c r="A229" s="8">
        <v>56</v>
      </c>
      <c r="B229" s="8" t="s">
        <v>51</v>
      </c>
      <c r="C229" s="8" t="s">
        <v>12</v>
      </c>
      <c r="D229" s="20">
        <f>8303.15+1732.44</f>
        <v>10035.59</v>
      </c>
      <c r="E229" s="35">
        <v>44.15</v>
      </c>
      <c r="F229" s="15">
        <v>0</v>
      </c>
      <c r="G229" s="15">
        <v>0</v>
      </c>
      <c r="H229" s="15">
        <v>0</v>
      </c>
      <c r="I229" s="15">
        <v>0</v>
      </c>
      <c r="J229" s="20">
        <f>SUM(D229:I229)</f>
        <v>10079.74</v>
      </c>
      <c r="K229" s="8"/>
      <c r="L229" s="8"/>
    </row>
    <row r="230" spans="1:12" ht="15.75" thickBot="1">
      <c r="A230" s="8"/>
      <c r="B230" s="8"/>
      <c r="C230" s="8" t="s">
        <v>13</v>
      </c>
      <c r="D230" s="29">
        <f>129.83+27.09</f>
        <v>156.92000000000002</v>
      </c>
      <c r="E230" s="34">
        <v>0.68</v>
      </c>
      <c r="F230" s="28">
        <v>0</v>
      </c>
      <c r="G230" s="28">
        <v>0</v>
      </c>
      <c r="H230" s="28">
        <v>0</v>
      </c>
      <c r="I230" s="28">
        <v>0</v>
      </c>
      <c r="J230" s="29">
        <f>SUM(D230:I230)</f>
        <v>157.60000000000002</v>
      </c>
      <c r="K230" s="8"/>
      <c r="L230" s="8"/>
    </row>
    <row r="231" spans="1:12">
      <c r="A231" s="8"/>
      <c r="B231" s="8"/>
      <c r="C231" s="8"/>
      <c r="D231" s="20"/>
      <c r="E231" s="35"/>
      <c r="F231" s="15"/>
      <c r="G231" s="15"/>
      <c r="H231" s="15"/>
      <c r="I231" s="15"/>
      <c r="J231" s="20"/>
      <c r="K231" s="8"/>
      <c r="L231" s="8"/>
    </row>
    <row r="232" spans="1:12" ht="15.75" thickBot="1">
      <c r="A232" s="8"/>
      <c r="B232" s="8"/>
      <c r="C232" s="8" t="s">
        <v>10</v>
      </c>
      <c r="D232" s="31">
        <f t="shared" ref="D232:I232" si="35">SUM(D229:D230)</f>
        <v>10192.51</v>
      </c>
      <c r="E232" s="44">
        <f t="shared" si="35"/>
        <v>44.83</v>
      </c>
      <c r="F232" s="30">
        <f t="shared" si="35"/>
        <v>0</v>
      </c>
      <c r="G232" s="30">
        <f t="shared" si="35"/>
        <v>0</v>
      </c>
      <c r="H232" s="30">
        <f t="shared" si="35"/>
        <v>0</v>
      </c>
      <c r="I232" s="30">
        <f t="shared" si="35"/>
        <v>0</v>
      </c>
      <c r="J232" s="31">
        <f>SUM(D232:I232)</f>
        <v>10237.34</v>
      </c>
      <c r="K232" s="8"/>
      <c r="L232" s="8"/>
    </row>
    <row r="233" spans="1:12" ht="15.75" thickTop="1">
      <c r="A233" s="8"/>
      <c r="B233" s="8"/>
      <c r="C233" s="8"/>
      <c r="D233" s="20"/>
      <c r="E233" s="20"/>
      <c r="F233" s="15"/>
      <c r="G233" s="15"/>
      <c r="H233" s="15"/>
      <c r="I233" s="15"/>
      <c r="J233" s="20"/>
      <c r="K233" s="8"/>
      <c r="L233" s="8"/>
    </row>
    <row r="234" spans="1:12">
      <c r="A234" s="8"/>
      <c r="B234" s="8"/>
      <c r="C234" s="8"/>
      <c r="D234" s="20"/>
      <c r="E234" s="20"/>
      <c r="F234" s="15"/>
      <c r="G234" s="15"/>
      <c r="H234" s="15"/>
      <c r="I234" s="15"/>
      <c r="J234" s="20"/>
      <c r="K234" s="8"/>
      <c r="L234" s="8"/>
    </row>
    <row r="235" spans="1:12">
      <c r="A235" s="8">
        <v>57</v>
      </c>
      <c r="B235" s="8" t="s">
        <v>52</v>
      </c>
      <c r="C235" s="8" t="s">
        <v>12</v>
      </c>
      <c r="D235" s="20">
        <f>28196.52+6273.51</f>
        <v>34470.03</v>
      </c>
      <c r="E235" s="20">
        <v>180.42</v>
      </c>
      <c r="F235" s="15">
        <v>161.41999999999999</v>
      </c>
      <c r="G235" s="15">
        <v>0</v>
      </c>
      <c r="H235" s="15">
        <v>0</v>
      </c>
      <c r="I235" s="15">
        <v>0</v>
      </c>
      <c r="J235" s="20">
        <f>SUM(D235:I235)</f>
        <v>34811.869999999995</v>
      </c>
      <c r="K235" s="8"/>
      <c r="L235" s="8"/>
    </row>
    <row r="236" spans="1:12">
      <c r="A236" s="8"/>
      <c r="B236" s="8"/>
      <c r="C236" s="38" t="s">
        <v>13</v>
      </c>
      <c r="D236" s="20">
        <f>751.91+167.29</f>
        <v>919.19999999999993</v>
      </c>
      <c r="E236" s="20">
        <v>5.31</v>
      </c>
      <c r="F236" s="15">
        <v>3.66</v>
      </c>
      <c r="G236" s="15">
        <v>0</v>
      </c>
      <c r="H236" s="15">
        <v>0</v>
      </c>
      <c r="I236" s="15">
        <v>0</v>
      </c>
      <c r="J236" s="20">
        <f t="shared" ref="J236:J237" si="36">SUM(D236:I236)</f>
        <v>928.16999999999985</v>
      </c>
      <c r="K236" s="8"/>
      <c r="L236" s="8"/>
    </row>
    <row r="237" spans="1:12">
      <c r="A237" s="8"/>
      <c r="B237" s="8"/>
      <c r="C237" s="38" t="s">
        <v>112</v>
      </c>
      <c r="D237" s="20">
        <f>814.57+181.23</f>
        <v>995.80000000000007</v>
      </c>
      <c r="E237" s="35">
        <v>8.02</v>
      </c>
      <c r="F237" s="15">
        <v>7.51</v>
      </c>
      <c r="G237" s="15">
        <v>0</v>
      </c>
      <c r="H237" s="15">
        <v>0</v>
      </c>
      <c r="I237" s="15">
        <v>0</v>
      </c>
      <c r="J237" s="20">
        <f t="shared" si="36"/>
        <v>1011.33</v>
      </c>
      <c r="K237" s="8"/>
      <c r="L237" s="8"/>
    </row>
    <row r="238" spans="1:12" ht="15.75" thickBot="1">
      <c r="A238" s="8"/>
      <c r="B238" s="8"/>
      <c r="C238" s="38" t="s">
        <v>109</v>
      </c>
      <c r="D238" s="29">
        <v>0</v>
      </c>
      <c r="E238" s="34">
        <v>0</v>
      </c>
      <c r="F238" s="28">
        <v>26.9</v>
      </c>
      <c r="G238" s="28">
        <v>0</v>
      </c>
      <c r="H238" s="28">
        <v>0</v>
      </c>
      <c r="I238" s="28">
        <v>0</v>
      </c>
      <c r="J238" s="29">
        <f>SUM(D238:I238)</f>
        <v>26.9</v>
      </c>
      <c r="K238" s="8"/>
      <c r="L238" s="8"/>
    </row>
    <row r="239" spans="1:12">
      <c r="A239" s="8"/>
      <c r="B239" s="8"/>
      <c r="C239" s="8"/>
      <c r="D239" s="20"/>
      <c r="E239" s="20"/>
      <c r="F239" s="15"/>
      <c r="G239" s="15"/>
      <c r="H239" s="15"/>
      <c r="I239" s="15"/>
      <c r="J239" s="20"/>
      <c r="K239" s="8"/>
      <c r="L239" s="8"/>
    </row>
    <row r="240" spans="1:12" ht="15.75" thickBot="1">
      <c r="A240" s="8"/>
      <c r="B240" s="8"/>
      <c r="C240" s="8" t="s">
        <v>10</v>
      </c>
      <c r="D240" s="31">
        <f t="shared" ref="D240:I240" si="37">SUM(D235:D238)</f>
        <v>36385.03</v>
      </c>
      <c r="E240" s="31">
        <f t="shared" si="37"/>
        <v>193.75</v>
      </c>
      <c r="F240" s="30">
        <f t="shared" si="37"/>
        <v>199.48999999999998</v>
      </c>
      <c r="G240" s="30">
        <f t="shared" si="37"/>
        <v>0</v>
      </c>
      <c r="H240" s="30">
        <f t="shared" si="37"/>
        <v>0</v>
      </c>
      <c r="I240" s="30">
        <f t="shared" si="37"/>
        <v>0</v>
      </c>
      <c r="J240" s="31">
        <f>SUM(D240:I240)</f>
        <v>36778.269999999997</v>
      </c>
      <c r="K240" s="8"/>
      <c r="L240" s="8"/>
    </row>
    <row r="241" spans="1:12" ht="15.75" thickTop="1">
      <c r="A241" s="8"/>
      <c r="B241" s="8"/>
      <c r="C241" s="8"/>
      <c r="D241" s="20"/>
      <c r="E241" s="20"/>
      <c r="F241" s="15"/>
      <c r="G241" s="15"/>
      <c r="H241" s="15"/>
      <c r="I241" s="15"/>
      <c r="J241" s="20"/>
      <c r="K241" s="8"/>
      <c r="L241" s="8"/>
    </row>
    <row r="242" spans="1:12">
      <c r="A242" s="8"/>
      <c r="B242" s="8"/>
      <c r="C242" s="8"/>
      <c r="D242" s="20"/>
      <c r="E242" s="20"/>
      <c r="F242" s="15"/>
      <c r="G242" s="15"/>
      <c r="H242" s="15"/>
      <c r="I242" s="15"/>
      <c r="J242" s="20"/>
      <c r="K242" s="8"/>
      <c r="L242" s="8"/>
    </row>
    <row r="243" spans="1:12">
      <c r="A243" s="8">
        <v>58</v>
      </c>
      <c r="B243" s="8" t="s">
        <v>53</v>
      </c>
      <c r="C243" s="8" t="s">
        <v>12</v>
      </c>
      <c r="D243" s="20">
        <f>11816.1+3322.22</f>
        <v>15138.32</v>
      </c>
      <c r="E243" s="35">
        <v>118.33</v>
      </c>
      <c r="F243" s="15">
        <v>0</v>
      </c>
      <c r="G243" s="15">
        <v>0</v>
      </c>
      <c r="H243" s="15">
        <v>0</v>
      </c>
      <c r="I243" s="15">
        <v>0</v>
      </c>
      <c r="J243" s="20">
        <f>SUM(D243:I243)</f>
        <v>15256.65</v>
      </c>
      <c r="K243" s="8"/>
      <c r="L243" s="8"/>
    </row>
    <row r="244" spans="1:12" ht="15.75" thickBot="1">
      <c r="A244" s="8"/>
      <c r="B244" s="8"/>
      <c r="C244" s="38" t="s">
        <v>116</v>
      </c>
      <c r="D244" s="29">
        <f>21835.27+6139.2</f>
        <v>27974.47</v>
      </c>
      <c r="E244" s="34">
        <v>239.94</v>
      </c>
      <c r="F244" s="28"/>
      <c r="G244" s="28"/>
      <c r="H244" s="28"/>
      <c r="I244" s="28"/>
      <c r="J244" s="34">
        <v>0</v>
      </c>
      <c r="K244" s="8"/>
      <c r="L244" s="8"/>
    </row>
    <row r="245" spans="1:12">
      <c r="A245" s="8"/>
      <c r="B245" s="8"/>
      <c r="C245" s="8"/>
      <c r="D245" s="20"/>
      <c r="E245" s="35"/>
      <c r="F245" s="15"/>
      <c r="G245" s="15"/>
      <c r="H245" s="15"/>
      <c r="I245" s="15"/>
      <c r="J245" s="20"/>
      <c r="K245" s="8"/>
      <c r="L245" s="8"/>
    </row>
    <row r="246" spans="1:12" ht="15.75" thickBot="1">
      <c r="A246" s="8"/>
      <c r="B246" s="8"/>
      <c r="C246" s="8" t="s">
        <v>10</v>
      </c>
      <c r="D246" s="31">
        <f t="shared" ref="D246:I246" si="38">SUM(D243:D244)</f>
        <v>43112.79</v>
      </c>
      <c r="E246" s="44">
        <f t="shared" si="38"/>
        <v>358.27</v>
      </c>
      <c r="F246" s="30">
        <f t="shared" si="38"/>
        <v>0</v>
      </c>
      <c r="G246" s="30">
        <f t="shared" si="38"/>
        <v>0</v>
      </c>
      <c r="H246" s="30">
        <f t="shared" si="38"/>
        <v>0</v>
      </c>
      <c r="I246" s="30">
        <f t="shared" si="38"/>
        <v>0</v>
      </c>
      <c r="J246" s="31">
        <f>SUM(D246:I246)</f>
        <v>43471.06</v>
      </c>
      <c r="K246" s="8"/>
      <c r="L246" s="8"/>
    </row>
    <row r="247" spans="1:12" ht="15.75" thickTop="1">
      <c r="A247" s="8"/>
      <c r="B247" s="8"/>
      <c r="C247" s="8"/>
      <c r="D247" s="20"/>
      <c r="E247" s="20"/>
      <c r="F247" s="15"/>
      <c r="G247" s="15"/>
      <c r="H247" s="15"/>
      <c r="I247" s="15"/>
      <c r="J247" s="20"/>
      <c r="K247" s="8"/>
      <c r="L247" s="8"/>
    </row>
    <row r="248" spans="1:12">
      <c r="A248" s="8"/>
      <c r="B248" s="8"/>
      <c r="C248" s="8"/>
      <c r="D248" s="20"/>
      <c r="E248" s="20"/>
      <c r="F248" s="15"/>
      <c r="G248" s="15"/>
      <c r="H248" s="15"/>
      <c r="I248" s="15"/>
      <c r="J248" s="20"/>
      <c r="K248" s="8"/>
      <c r="L248" s="8"/>
    </row>
    <row r="249" spans="1:12">
      <c r="A249" s="8">
        <v>59</v>
      </c>
      <c r="B249" s="8" t="s">
        <v>54</v>
      </c>
      <c r="C249" s="8" t="s">
        <v>12</v>
      </c>
      <c r="D249" s="20">
        <f>20294.17+4362.94</f>
        <v>24657.109999999997</v>
      </c>
      <c r="E249" s="20">
        <v>211.04</v>
      </c>
      <c r="F249" s="15">
        <v>235.1</v>
      </c>
      <c r="G249" s="15">
        <v>0</v>
      </c>
      <c r="H249" s="15">
        <v>0</v>
      </c>
      <c r="I249" s="15">
        <v>0</v>
      </c>
      <c r="J249" s="20">
        <f>SUM(D249:I249)</f>
        <v>25103.249999999996</v>
      </c>
      <c r="K249" s="8"/>
      <c r="L249" s="8"/>
    </row>
    <row r="250" spans="1:12" ht="15.75" thickBot="1">
      <c r="A250" s="8"/>
      <c r="B250" s="8"/>
      <c r="C250" s="8" t="s">
        <v>35</v>
      </c>
      <c r="D250" s="29">
        <f>1193.77+256.64</f>
        <v>1450.4099999999999</v>
      </c>
      <c r="E250" s="29">
        <v>11.9</v>
      </c>
      <c r="F250" s="28">
        <v>12.28</v>
      </c>
      <c r="G250" s="28">
        <v>0</v>
      </c>
      <c r="H250" s="28">
        <v>0</v>
      </c>
      <c r="I250" s="28">
        <v>0</v>
      </c>
      <c r="J250" s="29">
        <f>SUM(D250:I250)</f>
        <v>1474.59</v>
      </c>
      <c r="K250" s="8"/>
      <c r="L250" s="8"/>
    </row>
    <row r="251" spans="1:12">
      <c r="A251" s="8"/>
      <c r="B251" s="8"/>
      <c r="C251" s="8"/>
      <c r="D251" s="20"/>
      <c r="E251" s="20"/>
      <c r="F251" s="15"/>
      <c r="G251" s="15"/>
      <c r="H251" s="15"/>
      <c r="I251" s="15"/>
      <c r="J251" s="20"/>
      <c r="K251" s="8"/>
      <c r="L251" s="8"/>
    </row>
    <row r="252" spans="1:12" ht="15.75" thickBot="1">
      <c r="A252" s="8"/>
      <c r="B252" s="8"/>
      <c r="C252" s="8" t="s">
        <v>10</v>
      </c>
      <c r="D252" s="31">
        <f t="shared" ref="D252:I252" si="39">SUM(D249:D250)</f>
        <v>26107.519999999997</v>
      </c>
      <c r="E252" s="31">
        <f t="shared" si="39"/>
        <v>222.94</v>
      </c>
      <c r="F252" s="30">
        <f t="shared" si="39"/>
        <v>247.38</v>
      </c>
      <c r="G252" s="30">
        <f t="shared" si="39"/>
        <v>0</v>
      </c>
      <c r="H252" s="30">
        <f t="shared" si="39"/>
        <v>0</v>
      </c>
      <c r="I252" s="30">
        <f t="shared" si="39"/>
        <v>0</v>
      </c>
      <c r="J252" s="31">
        <f>SUM(D252:I252)</f>
        <v>26577.839999999997</v>
      </c>
      <c r="K252" s="8"/>
      <c r="L252" s="8"/>
    </row>
    <row r="253" spans="1:12" ht="15.75" thickTop="1">
      <c r="A253" s="8"/>
      <c r="B253" s="8"/>
      <c r="C253" s="8"/>
      <c r="D253" s="20"/>
      <c r="E253" s="20"/>
      <c r="F253" s="15"/>
      <c r="G253" s="15"/>
      <c r="H253" s="15"/>
      <c r="I253" s="15"/>
      <c r="J253" s="20"/>
      <c r="K253" s="8"/>
      <c r="L253" s="8"/>
    </row>
    <row r="254" spans="1:12">
      <c r="A254" s="8"/>
      <c r="B254" s="8"/>
      <c r="C254" s="8"/>
      <c r="D254" s="20"/>
      <c r="E254" s="20"/>
      <c r="F254" s="15"/>
      <c r="G254" s="15"/>
      <c r="H254" s="15"/>
      <c r="I254" s="15"/>
      <c r="J254" s="20"/>
      <c r="K254" s="8"/>
      <c r="L254" s="8"/>
    </row>
    <row r="255" spans="1:12">
      <c r="A255" s="8">
        <v>60</v>
      </c>
      <c r="B255" s="8" t="s">
        <v>55</v>
      </c>
      <c r="C255" s="8" t="s">
        <v>12</v>
      </c>
      <c r="D255" s="20">
        <f>54629.27+11934.97</f>
        <v>66564.239999999991</v>
      </c>
      <c r="E255" s="20">
        <v>260.14999999999998</v>
      </c>
      <c r="F255" s="15">
        <v>0</v>
      </c>
      <c r="G255" s="15">
        <v>0</v>
      </c>
      <c r="H255" s="15">
        <v>0</v>
      </c>
      <c r="I255" s="15">
        <v>0</v>
      </c>
      <c r="J255" s="20">
        <f>SUM(D255:I255)</f>
        <v>66824.389999999985</v>
      </c>
      <c r="K255" s="8"/>
      <c r="L255" s="8"/>
    </row>
    <row r="256" spans="1:12">
      <c r="A256" s="8"/>
      <c r="B256" s="8"/>
      <c r="C256" s="38" t="s">
        <v>35</v>
      </c>
      <c r="D256" s="20">
        <f>3028.23+661.58</f>
        <v>3689.81</v>
      </c>
      <c r="E256" s="35">
        <v>12.86</v>
      </c>
      <c r="F256" s="15">
        <v>0</v>
      </c>
      <c r="G256" s="15">
        <v>0</v>
      </c>
      <c r="H256" s="15">
        <v>0</v>
      </c>
      <c r="I256" s="15">
        <v>0</v>
      </c>
      <c r="J256" s="20">
        <f>SUM(D256:I256)</f>
        <v>3702.67</v>
      </c>
      <c r="K256" s="8"/>
      <c r="L256" s="8"/>
    </row>
    <row r="257" spans="1:12">
      <c r="A257" s="8"/>
      <c r="B257" s="8"/>
      <c r="C257" s="8" t="s">
        <v>97</v>
      </c>
      <c r="D257" s="20">
        <f>1181.01+258.02</f>
        <v>1439.03</v>
      </c>
      <c r="E257" s="35">
        <v>2.46</v>
      </c>
      <c r="F257" s="15">
        <v>0</v>
      </c>
      <c r="G257" s="15">
        <v>0</v>
      </c>
      <c r="H257" s="15">
        <v>0</v>
      </c>
      <c r="I257" s="15">
        <v>0</v>
      </c>
      <c r="J257" s="20">
        <f>SUM(D257:I257)</f>
        <v>1441.49</v>
      </c>
      <c r="K257" s="8"/>
      <c r="L257" s="8"/>
    </row>
    <row r="258" spans="1:12">
      <c r="A258" s="8"/>
      <c r="B258" s="8"/>
      <c r="C258" s="8" t="s">
        <v>98</v>
      </c>
      <c r="D258" s="25">
        <v>0</v>
      </c>
      <c r="E258" s="45">
        <v>7.95</v>
      </c>
      <c r="F258" s="24">
        <v>0</v>
      </c>
      <c r="G258" s="24">
        <v>0</v>
      </c>
      <c r="H258" s="24">
        <v>0</v>
      </c>
      <c r="I258" s="24">
        <v>0</v>
      </c>
      <c r="J258" s="25">
        <f>SUM(D258:I258)</f>
        <v>7.95</v>
      </c>
      <c r="K258" s="8"/>
      <c r="L258" s="8"/>
    </row>
    <row r="259" spans="1:12">
      <c r="A259" s="8"/>
      <c r="B259" s="8"/>
      <c r="C259" s="8"/>
      <c r="D259" s="20"/>
      <c r="E259" s="20"/>
      <c r="F259" s="15"/>
      <c r="G259" s="15"/>
      <c r="H259" s="15"/>
      <c r="I259" s="15"/>
      <c r="J259" s="20"/>
      <c r="K259" s="8"/>
      <c r="L259" s="8"/>
    </row>
    <row r="260" spans="1:12">
      <c r="A260" s="8"/>
      <c r="B260" s="8"/>
      <c r="C260" s="8"/>
      <c r="D260" s="20"/>
      <c r="E260" s="20"/>
      <c r="F260" s="15"/>
      <c r="G260" s="15"/>
      <c r="H260" s="15"/>
      <c r="I260" s="15"/>
      <c r="J260" s="20"/>
      <c r="K260" s="8"/>
      <c r="L260" s="8"/>
    </row>
    <row r="261" spans="1:12" ht="15.75" thickBot="1">
      <c r="A261" s="8"/>
      <c r="B261" s="8"/>
      <c r="C261" s="8" t="s">
        <v>10</v>
      </c>
      <c r="D261" s="31">
        <f t="shared" ref="D261:I261" si="40">SUM(D255:D260)</f>
        <v>71693.079999999987</v>
      </c>
      <c r="E261" s="31">
        <f t="shared" si="40"/>
        <v>283.41999999999996</v>
      </c>
      <c r="F261" s="30">
        <f t="shared" si="40"/>
        <v>0</v>
      </c>
      <c r="G261" s="30">
        <f t="shared" si="40"/>
        <v>0</v>
      </c>
      <c r="H261" s="30">
        <f t="shared" si="40"/>
        <v>0</v>
      </c>
      <c r="I261" s="30">
        <f t="shared" si="40"/>
        <v>0</v>
      </c>
      <c r="J261" s="31">
        <f>SUM(D261:I261)</f>
        <v>71976.499999999985</v>
      </c>
      <c r="K261" s="8"/>
      <c r="L261" s="8"/>
    </row>
    <row r="262" spans="1:12" ht="15.75" thickTop="1">
      <c r="A262" s="8"/>
      <c r="B262" s="8"/>
      <c r="C262" s="8"/>
      <c r="D262" s="20"/>
      <c r="E262" s="20"/>
      <c r="F262" s="15"/>
      <c r="G262" s="15"/>
      <c r="H262" s="15"/>
      <c r="I262" s="15"/>
      <c r="J262" s="20"/>
      <c r="K262" s="8"/>
      <c r="L262" s="8"/>
    </row>
    <row r="263" spans="1:12">
      <c r="A263" s="8"/>
      <c r="B263" s="8"/>
      <c r="C263" s="8"/>
      <c r="D263" s="20"/>
      <c r="E263" s="20"/>
      <c r="F263" s="15"/>
      <c r="G263" s="15"/>
      <c r="H263" s="15"/>
      <c r="I263" s="15"/>
      <c r="J263" s="20"/>
      <c r="K263" s="8"/>
      <c r="L263" s="8"/>
    </row>
    <row r="264" spans="1:12">
      <c r="A264" s="8">
        <v>61</v>
      </c>
      <c r="B264" s="8" t="s">
        <v>56</v>
      </c>
      <c r="C264" s="8" t="s">
        <v>12</v>
      </c>
      <c r="D264" s="39">
        <f>5526.75+1207.87</f>
        <v>6734.62</v>
      </c>
      <c r="E264" s="35">
        <v>0</v>
      </c>
      <c r="F264" s="15">
        <v>0</v>
      </c>
      <c r="G264" s="15">
        <v>0</v>
      </c>
      <c r="H264" s="15">
        <v>0</v>
      </c>
      <c r="I264" s="15">
        <v>0</v>
      </c>
      <c r="J264" s="20">
        <f>SUM(D264:I264)</f>
        <v>6734.62</v>
      </c>
      <c r="K264" s="8"/>
      <c r="L264" s="8"/>
    </row>
    <row r="265" spans="1:12">
      <c r="A265" s="8"/>
      <c r="B265" s="8"/>
      <c r="C265" s="8" t="s">
        <v>13</v>
      </c>
      <c r="D265" s="20">
        <f>149.78+32.73</f>
        <v>182.51</v>
      </c>
      <c r="E265" s="35">
        <v>0</v>
      </c>
      <c r="F265" s="15">
        <v>0</v>
      </c>
      <c r="G265" s="15">
        <v>0</v>
      </c>
      <c r="H265" s="15">
        <v>0</v>
      </c>
      <c r="I265" s="15">
        <v>0</v>
      </c>
      <c r="J265" s="20">
        <f>SUM(D265:I265)</f>
        <v>182.51</v>
      </c>
      <c r="K265" s="8"/>
      <c r="L265" s="8"/>
    </row>
    <row r="266" spans="1:12" ht="15.75" thickBot="1">
      <c r="A266" s="8"/>
      <c r="B266" s="8"/>
      <c r="C266" s="8" t="s">
        <v>99</v>
      </c>
      <c r="D266" s="29">
        <f>606.59+132.57</f>
        <v>739.16000000000008</v>
      </c>
      <c r="E266" s="34">
        <v>0</v>
      </c>
      <c r="F266" s="28">
        <v>0</v>
      </c>
      <c r="G266" s="28">
        <v>0</v>
      </c>
      <c r="H266" s="28">
        <v>0</v>
      </c>
      <c r="I266" s="28">
        <v>0</v>
      </c>
      <c r="J266" s="29">
        <f>SUM(D266:I266)</f>
        <v>739.16000000000008</v>
      </c>
      <c r="K266" s="8"/>
      <c r="L266" s="8"/>
    </row>
    <row r="267" spans="1:12">
      <c r="A267" s="8"/>
      <c r="B267" s="8"/>
      <c r="C267" s="8"/>
      <c r="D267" s="20"/>
      <c r="E267" s="35"/>
      <c r="F267" s="15"/>
      <c r="G267" s="15"/>
      <c r="H267" s="15"/>
      <c r="I267" s="15"/>
      <c r="J267" s="20"/>
      <c r="K267" s="8"/>
      <c r="L267" s="8"/>
    </row>
    <row r="268" spans="1:12" ht="15.75" thickBot="1">
      <c r="A268" s="8"/>
      <c r="B268" s="8"/>
      <c r="C268" s="8" t="s">
        <v>10</v>
      </c>
      <c r="D268" s="31">
        <f>SUM(D264:D266)</f>
        <v>7656.29</v>
      </c>
      <c r="E268" s="44">
        <f t="shared" ref="E268:J268" si="41">SUM(E264:E266)</f>
        <v>0</v>
      </c>
      <c r="F268" s="30">
        <f t="shared" si="41"/>
        <v>0</v>
      </c>
      <c r="G268" s="30">
        <f t="shared" si="41"/>
        <v>0</v>
      </c>
      <c r="H268" s="30">
        <f t="shared" si="41"/>
        <v>0</v>
      </c>
      <c r="I268" s="30">
        <f t="shared" si="41"/>
        <v>0</v>
      </c>
      <c r="J268" s="30">
        <f t="shared" si="41"/>
        <v>7656.29</v>
      </c>
      <c r="K268" s="8"/>
      <c r="L268" s="8"/>
    </row>
    <row r="269" spans="1:12" ht="15.75" thickTop="1">
      <c r="A269" s="8"/>
      <c r="B269" s="8"/>
      <c r="C269" s="8"/>
      <c r="D269" s="20"/>
      <c r="E269" s="35"/>
      <c r="F269" s="15"/>
      <c r="G269" s="15"/>
      <c r="H269" s="15"/>
      <c r="I269" s="15"/>
      <c r="J269" s="20"/>
      <c r="K269" s="8"/>
      <c r="L269" s="8"/>
    </row>
    <row r="270" spans="1:12">
      <c r="A270" s="8"/>
      <c r="B270" s="8"/>
      <c r="C270" s="8"/>
      <c r="D270" s="20"/>
      <c r="E270" s="35"/>
      <c r="F270" s="15"/>
      <c r="G270" s="15"/>
      <c r="H270" s="15"/>
      <c r="I270" s="15"/>
      <c r="J270" s="20"/>
      <c r="K270" s="8"/>
      <c r="L270" s="8"/>
    </row>
    <row r="271" spans="1:12">
      <c r="A271" s="8">
        <v>62</v>
      </c>
      <c r="B271" s="8" t="s">
        <v>57</v>
      </c>
      <c r="C271" s="8" t="s">
        <v>12</v>
      </c>
      <c r="D271" s="20">
        <f>4352.7+1361.41</f>
        <v>5714.11</v>
      </c>
      <c r="E271" s="35">
        <v>0</v>
      </c>
      <c r="F271" s="15">
        <v>0</v>
      </c>
      <c r="G271" s="15">
        <v>0</v>
      </c>
      <c r="H271" s="15">
        <v>0</v>
      </c>
      <c r="I271" s="15">
        <v>0</v>
      </c>
      <c r="J271" s="20">
        <f>SUM(D271:I271)</f>
        <v>5714.11</v>
      </c>
      <c r="K271" s="8"/>
      <c r="L271" s="8"/>
    </row>
    <row r="272" spans="1:12" ht="15.75" thickBot="1">
      <c r="A272" s="8"/>
      <c r="B272" s="8"/>
      <c r="C272" s="8" t="s">
        <v>13</v>
      </c>
      <c r="D272" s="29">
        <f>65.27+20.41</f>
        <v>85.679999999999993</v>
      </c>
      <c r="E272" s="34">
        <v>0</v>
      </c>
      <c r="F272" s="28">
        <v>0</v>
      </c>
      <c r="G272" s="28">
        <v>0</v>
      </c>
      <c r="H272" s="28">
        <v>0</v>
      </c>
      <c r="I272" s="28">
        <v>0</v>
      </c>
      <c r="J272" s="29">
        <f>SUM(D272:I272)</f>
        <v>85.679999999999993</v>
      </c>
      <c r="K272" s="8"/>
      <c r="L272" s="8"/>
    </row>
    <row r="273" spans="1:12">
      <c r="A273" s="8"/>
      <c r="B273" s="8"/>
      <c r="C273" s="8"/>
      <c r="D273" s="20"/>
      <c r="E273" s="35"/>
      <c r="F273" s="15"/>
      <c r="G273" s="15"/>
      <c r="H273" s="15"/>
      <c r="I273" s="15"/>
      <c r="J273" s="20"/>
      <c r="K273" s="8"/>
      <c r="L273" s="8"/>
    </row>
    <row r="274" spans="1:12" ht="15.75" thickBot="1">
      <c r="A274" s="8"/>
      <c r="B274" s="8"/>
      <c r="C274" s="8" t="s">
        <v>10</v>
      </c>
      <c r="D274" s="31">
        <f t="shared" ref="D274:I274" si="42">SUM(D271:D272)</f>
        <v>5799.79</v>
      </c>
      <c r="E274" s="44">
        <f t="shared" si="42"/>
        <v>0</v>
      </c>
      <c r="F274" s="30">
        <f t="shared" si="42"/>
        <v>0</v>
      </c>
      <c r="G274" s="30">
        <f t="shared" si="42"/>
        <v>0</v>
      </c>
      <c r="H274" s="30">
        <f t="shared" si="42"/>
        <v>0</v>
      </c>
      <c r="I274" s="30">
        <f t="shared" si="42"/>
        <v>0</v>
      </c>
      <c r="J274" s="31">
        <f>SUM(D274:I274)</f>
        <v>5799.79</v>
      </c>
      <c r="K274" s="8"/>
      <c r="L274" s="8"/>
    </row>
    <row r="275" spans="1:12" ht="15.75" thickTop="1">
      <c r="A275" s="8"/>
      <c r="B275" s="8"/>
      <c r="C275" s="8"/>
      <c r="D275" s="20"/>
      <c r="E275" s="20"/>
      <c r="F275" s="15"/>
      <c r="G275" s="15"/>
      <c r="H275" s="15"/>
      <c r="I275" s="15"/>
      <c r="J275" s="20"/>
      <c r="K275" s="8"/>
      <c r="L275" s="8"/>
    </row>
    <row r="276" spans="1:12">
      <c r="A276" s="8"/>
      <c r="B276" s="8"/>
      <c r="C276" s="8"/>
      <c r="D276" s="20"/>
      <c r="E276" s="20"/>
      <c r="F276" s="15"/>
      <c r="G276" s="15"/>
      <c r="H276" s="15"/>
      <c r="I276" s="15"/>
      <c r="J276" s="20"/>
      <c r="K276" s="8"/>
      <c r="L276" s="8"/>
    </row>
    <row r="277" spans="1:12">
      <c r="A277" s="8">
        <v>63</v>
      </c>
      <c r="B277" s="8" t="s">
        <v>58</v>
      </c>
      <c r="C277" s="8" t="s">
        <v>12</v>
      </c>
      <c r="D277" s="20">
        <f>8592.9+3240.41</f>
        <v>11833.31</v>
      </c>
      <c r="E277" s="20">
        <v>202.38</v>
      </c>
      <c r="F277" s="15">
        <v>180.54</v>
      </c>
      <c r="G277" s="15">
        <v>0</v>
      </c>
      <c r="H277" s="15">
        <v>0</v>
      </c>
      <c r="I277" s="15">
        <v>0</v>
      </c>
      <c r="J277" s="20">
        <f>SUM(D277:I277)</f>
        <v>12216.23</v>
      </c>
      <c r="K277" s="8"/>
      <c r="L277" s="8"/>
    </row>
    <row r="278" spans="1:12" ht="15.75" thickBot="1">
      <c r="A278" s="8"/>
      <c r="B278" s="8"/>
      <c r="C278" s="8" t="s">
        <v>13</v>
      </c>
      <c r="D278" s="29">
        <f>220.73+83.24</f>
        <v>303.96999999999997</v>
      </c>
      <c r="E278" s="29">
        <v>5.19</v>
      </c>
      <c r="F278" s="28">
        <v>4.55</v>
      </c>
      <c r="G278" s="28">
        <v>0</v>
      </c>
      <c r="H278" s="28">
        <v>0</v>
      </c>
      <c r="I278" s="28">
        <v>0</v>
      </c>
      <c r="J278" s="29">
        <f>SUM(D278:I278)</f>
        <v>313.70999999999998</v>
      </c>
      <c r="K278" s="8"/>
      <c r="L278" s="8"/>
    </row>
    <row r="279" spans="1:12">
      <c r="A279" s="8"/>
      <c r="B279" s="8"/>
      <c r="C279" s="8"/>
      <c r="D279" s="20"/>
      <c r="E279" s="20"/>
      <c r="F279" s="15"/>
      <c r="G279" s="15"/>
      <c r="H279" s="15"/>
      <c r="I279" s="15"/>
      <c r="J279" s="20"/>
      <c r="K279" s="8"/>
      <c r="L279" s="8"/>
    </row>
    <row r="280" spans="1:12" ht="15.75" thickBot="1">
      <c r="A280" s="8"/>
      <c r="B280" s="8"/>
      <c r="C280" s="8" t="s">
        <v>10</v>
      </c>
      <c r="D280" s="31">
        <f t="shared" ref="D280:I280" si="43">SUM(D277:D278)</f>
        <v>12137.279999999999</v>
      </c>
      <c r="E280" s="31">
        <f t="shared" si="43"/>
        <v>207.57</v>
      </c>
      <c r="F280" s="30">
        <f t="shared" si="43"/>
        <v>185.09</v>
      </c>
      <c r="G280" s="30">
        <f t="shared" si="43"/>
        <v>0</v>
      </c>
      <c r="H280" s="30">
        <f t="shared" si="43"/>
        <v>0</v>
      </c>
      <c r="I280" s="30">
        <f t="shared" si="43"/>
        <v>0</v>
      </c>
      <c r="J280" s="31">
        <f>SUM(D280:I280)</f>
        <v>12529.939999999999</v>
      </c>
      <c r="K280" s="8"/>
      <c r="L280" s="8"/>
    </row>
    <row r="281" spans="1:12" ht="15.75" thickTop="1">
      <c r="A281" s="8"/>
      <c r="B281" s="8"/>
      <c r="C281" s="8"/>
      <c r="D281" s="20"/>
      <c r="E281" s="20"/>
      <c r="F281" s="15"/>
      <c r="G281" s="15"/>
      <c r="H281" s="15"/>
      <c r="I281" s="15"/>
      <c r="J281" s="20"/>
      <c r="K281" s="8"/>
      <c r="L281" s="8"/>
    </row>
    <row r="282" spans="1:12">
      <c r="A282" s="8"/>
      <c r="B282" s="8"/>
      <c r="C282" s="8"/>
      <c r="D282" s="20"/>
      <c r="E282" s="20"/>
      <c r="F282" s="15"/>
      <c r="G282" s="15"/>
      <c r="H282" s="15"/>
      <c r="I282" s="15"/>
      <c r="J282" s="20"/>
      <c r="K282" s="8"/>
      <c r="L282" s="8"/>
    </row>
    <row r="283" spans="1:12" ht="15.75" thickBot="1">
      <c r="A283" s="8">
        <v>64</v>
      </c>
      <c r="B283" s="8" t="s">
        <v>59</v>
      </c>
      <c r="C283" s="8" t="s">
        <v>12</v>
      </c>
      <c r="D283" s="29">
        <f>49723.33+10833.45</f>
        <v>60556.78</v>
      </c>
      <c r="E283" s="29">
        <v>712.63</v>
      </c>
      <c r="F283" s="28">
        <v>546.59</v>
      </c>
      <c r="G283" s="28">
        <v>0</v>
      </c>
      <c r="H283" s="28">
        <v>0</v>
      </c>
      <c r="I283" s="28">
        <v>0</v>
      </c>
      <c r="J283" s="29">
        <f>SUM(D283:I283)</f>
        <v>61815.999999999993</v>
      </c>
      <c r="K283" s="8"/>
      <c r="L283" s="8"/>
    </row>
    <row r="284" spans="1:12">
      <c r="A284" s="8"/>
      <c r="B284" s="8"/>
      <c r="C284" s="8"/>
      <c r="D284" s="20"/>
      <c r="E284" s="20"/>
      <c r="F284" s="15"/>
      <c r="G284" s="15"/>
      <c r="H284" s="15"/>
      <c r="I284" s="15"/>
      <c r="J284" s="20"/>
      <c r="K284" s="8"/>
      <c r="L284" s="8"/>
    </row>
    <row r="285" spans="1:12" ht="15.75" thickBot="1">
      <c r="A285" s="8"/>
      <c r="B285" s="8"/>
      <c r="C285" s="8" t="s">
        <v>10</v>
      </c>
      <c r="D285" s="31">
        <f t="shared" ref="D285:I285" si="44">SUM(D283:D284)</f>
        <v>60556.78</v>
      </c>
      <c r="E285" s="31">
        <f t="shared" si="44"/>
        <v>712.63</v>
      </c>
      <c r="F285" s="30">
        <f t="shared" si="44"/>
        <v>546.59</v>
      </c>
      <c r="G285" s="30">
        <f t="shared" si="44"/>
        <v>0</v>
      </c>
      <c r="H285" s="30">
        <f t="shared" si="44"/>
        <v>0</v>
      </c>
      <c r="I285" s="30">
        <f t="shared" si="44"/>
        <v>0</v>
      </c>
      <c r="J285" s="31">
        <f>SUM(D285:I285)</f>
        <v>61815.999999999993</v>
      </c>
      <c r="K285" s="8"/>
      <c r="L285" s="8"/>
    </row>
    <row r="286" spans="1:12" ht="15.75" thickTop="1">
      <c r="A286" s="8"/>
      <c r="B286" s="8"/>
      <c r="C286" s="8"/>
      <c r="D286" s="20"/>
      <c r="E286" s="20"/>
      <c r="F286" s="15"/>
      <c r="G286" s="15"/>
      <c r="H286" s="15"/>
      <c r="I286" s="15"/>
      <c r="J286" s="20"/>
      <c r="K286" s="8"/>
      <c r="L286" s="8"/>
    </row>
    <row r="287" spans="1:12">
      <c r="A287" s="8"/>
      <c r="B287" s="12"/>
      <c r="C287" s="12"/>
      <c r="D287" s="36"/>
      <c r="E287" s="36"/>
      <c r="F287" s="16"/>
      <c r="G287" s="13"/>
      <c r="H287" s="13"/>
      <c r="I287" s="13"/>
      <c r="J287" s="20"/>
      <c r="K287" s="8"/>
      <c r="L287" s="8"/>
    </row>
    <row r="288" spans="1:12">
      <c r="A288" s="8">
        <v>65</v>
      </c>
      <c r="B288" s="8" t="s">
        <v>60</v>
      </c>
      <c r="C288" s="8" t="s">
        <v>12</v>
      </c>
      <c r="D288" s="25">
        <f>11409.26+2780.17</f>
        <v>14189.43</v>
      </c>
      <c r="E288" s="25">
        <v>0</v>
      </c>
      <c r="F288" s="24">
        <v>0</v>
      </c>
      <c r="G288" s="24">
        <v>0</v>
      </c>
      <c r="H288" s="24">
        <v>0</v>
      </c>
      <c r="I288" s="24">
        <v>0</v>
      </c>
      <c r="J288" s="25">
        <f>SUM(D288:I288)</f>
        <v>14189.43</v>
      </c>
      <c r="K288" s="8"/>
      <c r="L288" s="8"/>
    </row>
    <row r="289" spans="1:12" ht="15.75" hidden="1" thickBot="1">
      <c r="A289" s="8"/>
      <c r="B289" s="8"/>
      <c r="C289" s="8" t="s">
        <v>13</v>
      </c>
      <c r="D289" s="29"/>
      <c r="E289" s="29"/>
      <c r="F289" s="28"/>
      <c r="G289" s="28"/>
      <c r="H289" s="28"/>
      <c r="I289" s="28"/>
      <c r="J289" s="29"/>
      <c r="K289" s="8"/>
      <c r="L289" s="8"/>
    </row>
    <row r="290" spans="1:12">
      <c r="A290" s="8"/>
      <c r="B290" s="8"/>
      <c r="C290" s="8"/>
      <c r="D290" s="20"/>
      <c r="E290" s="20"/>
      <c r="F290" s="15"/>
      <c r="G290" s="15"/>
      <c r="H290" s="15"/>
      <c r="I290" s="15"/>
      <c r="J290" s="20"/>
      <c r="K290" s="8"/>
      <c r="L290" s="8"/>
    </row>
    <row r="291" spans="1:12" ht="15.75" thickBot="1">
      <c r="A291" s="8"/>
      <c r="B291" s="8"/>
      <c r="C291" s="8" t="s">
        <v>10</v>
      </c>
      <c r="D291" s="31">
        <f t="shared" ref="D291:I291" si="45">SUM(D288:D289)</f>
        <v>14189.43</v>
      </c>
      <c r="E291" s="31">
        <f t="shared" si="45"/>
        <v>0</v>
      </c>
      <c r="F291" s="30">
        <f t="shared" si="45"/>
        <v>0</v>
      </c>
      <c r="G291" s="30">
        <f t="shared" si="45"/>
        <v>0</v>
      </c>
      <c r="H291" s="30">
        <f t="shared" si="45"/>
        <v>0</v>
      </c>
      <c r="I291" s="30">
        <f t="shared" si="45"/>
        <v>0</v>
      </c>
      <c r="J291" s="31">
        <f>SUM(D291:I291)</f>
        <v>14189.43</v>
      </c>
      <c r="K291" s="8"/>
      <c r="L291" s="8"/>
    </row>
    <row r="292" spans="1:12" ht="15.75" thickTop="1">
      <c r="A292" s="8"/>
      <c r="B292" s="8"/>
      <c r="C292" s="8"/>
      <c r="D292" s="20"/>
      <c r="E292" s="20"/>
      <c r="F292" s="15"/>
      <c r="G292" s="15"/>
      <c r="H292" s="15"/>
      <c r="I292" s="15"/>
      <c r="J292" s="20"/>
      <c r="K292" s="8"/>
      <c r="L292" s="8"/>
    </row>
    <row r="293" spans="1:12">
      <c r="A293" s="8"/>
      <c r="B293" s="8"/>
      <c r="C293" s="8"/>
      <c r="D293" s="20"/>
      <c r="E293" s="20"/>
      <c r="F293" s="15"/>
      <c r="G293" s="15"/>
      <c r="H293" s="15"/>
      <c r="I293" s="15"/>
      <c r="J293" s="20"/>
      <c r="K293" s="8"/>
      <c r="L293" s="8"/>
    </row>
    <row r="294" spans="1:12">
      <c r="A294" s="8">
        <v>66</v>
      </c>
      <c r="B294" s="8" t="s">
        <v>61</v>
      </c>
      <c r="C294" s="8" t="s">
        <v>12</v>
      </c>
      <c r="D294" s="20">
        <f>9964.73+2161.04</f>
        <v>12125.77</v>
      </c>
      <c r="E294" s="20">
        <v>129.68</v>
      </c>
      <c r="F294" s="15">
        <v>159.65</v>
      </c>
      <c r="G294" s="15">
        <v>0</v>
      </c>
      <c r="H294" s="15">
        <v>0</v>
      </c>
      <c r="I294" s="15">
        <v>0</v>
      </c>
      <c r="J294" s="20">
        <f>SUM(D294:I294)</f>
        <v>12415.1</v>
      </c>
      <c r="K294" s="8"/>
      <c r="L294" s="8"/>
    </row>
    <row r="295" spans="1:12">
      <c r="A295" s="8"/>
      <c r="B295" s="8"/>
      <c r="C295" s="38" t="s">
        <v>35</v>
      </c>
      <c r="D295" s="20">
        <f>738.13+160.08</f>
        <v>898.21</v>
      </c>
      <c r="E295" s="35">
        <v>9.91</v>
      </c>
      <c r="F295" s="15">
        <v>11.27</v>
      </c>
      <c r="G295" s="15">
        <v>0</v>
      </c>
      <c r="H295" s="15">
        <v>0</v>
      </c>
      <c r="I295" s="15">
        <v>0</v>
      </c>
      <c r="J295" s="35">
        <f>SUM(D295:I295)</f>
        <v>919.39</v>
      </c>
      <c r="K295" s="8"/>
      <c r="L295" s="8"/>
    </row>
    <row r="296" spans="1:12">
      <c r="A296" s="8"/>
      <c r="B296" s="8"/>
      <c r="C296" s="38" t="s">
        <v>73</v>
      </c>
      <c r="D296" s="20">
        <f>1107.19+240.12</f>
        <v>1347.31</v>
      </c>
      <c r="E296" s="20">
        <v>16.260000000000002</v>
      </c>
      <c r="F296" s="15">
        <v>10.029999999999999</v>
      </c>
      <c r="G296" s="15">
        <v>0</v>
      </c>
      <c r="H296" s="15">
        <v>0</v>
      </c>
      <c r="I296" s="15">
        <v>0</v>
      </c>
      <c r="J296" s="35">
        <f>SUM(D296:I296)</f>
        <v>1373.6</v>
      </c>
      <c r="K296" s="8"/>
      <c r="L296" s="8"/>
    </row>
    <row r="297" spans="1:12" ht="15.75" thickBot="1">
      <c r="A297" s="8"/>
      <c r="B297" s="8"/>
      <c r="C297" s="38" t="s">
        <v>109</v>
      </c>
      <c r="D297" s="29">
        <f>1595.43+361.33</f>
        <v>1956.76</v>
      </c>
      <c r="E297" s="34">
        <v>24.39</v>
      </c>
      <c r="F297" s="28">
        <v>30.08</v>
      </c>
      <c r="G297" s="33">
        <v>0</v>
      </c>
      <c r="H297" s="33">
        <v>0</v>
      </c>
      <c r="I297" s="33">
        <v>0</v>
      </c>
      <c r="J297" s="29">
        <f>SUM(D297:I297)</f>
        <v>2011.23</v>
      </c>
      <c r="K297" s="8"/>
      <c r="L297" s="8"/>
    </row>
    <row r="298" spans="1:12">
      <c r="A298" s="8"/>
      <c r="B298" s="8"/>
      <c r="C298" s="8"/>
      <c r="D298" s="20"/>
      <c r="E298" s="20"/>
      <c r="F298" s="15"/>
      <c r="G298" s="8"/>
      <c r="H298" s="8"/>
      <c r="I298" s="8"/>
      <c r="J298" s="20"/>
      <c r="K298" s="8"/>
      <c r="L298" s="8"/>
    </row>
    <row r="299" spans="1:12" ht="15.75" thickBot="1">
      <c r="A299" s="8"/>
      <c r="B299" s="8"/>
      <c r="C299" s="8" t="s">
        <v>10</v>
      </c>
      <c r="D299" s="31">
        <f t="shared" ref="D299:I299" si="46">SUM(D294:D297)</f>
        <v>16328.05</v>
      </c>
      <c r="E299" s="31">
        <f t="shared" si="46"/>
        <v>180.24</v>
      </c>
      <c r="F299" s="30">
        <f t="shared" si="46"/>
        <v>211.03000000000003</v>
      </c>
      <c r="G299" s="30">
        <f t="shared" si="46"/>
        <v>0</v>
      </c>
      <c r="H299" s="30">
        <f t="shared" si="46"/>
        <v>0</v>
      </c>
      <c r="I299" s="30">
        <f t="shared" si="46"/>
        <v>0</v>
      </c>
      <c r="J299" s="31">
        <f>SUM(D299:I299)</f>
        <v>16719.32</v>
      </c>
      <c r="K299" s="8"/>
      <c r="L299" s="8"/>
    </row>
    <row r="300" spans="1:12" ht="15.75" thickTop="1">
      <c r="A300" s="8"/>
      <c r="B300" s="8"/>
      <c r="C300" s="8"/>
      <c r="D300" s="20"/>
      <c r="E300" s="20"/>
      <c r="F300" s="15"/>
      <c r="G300" s="15"/>
      <c r="H300" s="15"/>
      <c r="I300" s="15"/>
      <c r="J300" s="20"/>
      <c r="K300" s="8"/>
      <c r="L300" s="8"/>
    </row>
    <row r="301" spans="1:12">
      <c r="A301" s="8"/>
      <c r="B301" s="8"/>
      <c r="C301" s="8"/>
      <c r="D301" s="20"/>
      <c r="E301" s="20"/>
      <c r="F301" s="15"/>
      <c r="G301" s="15"/>
      <c r="H301" s="15"/>
      <c r="I301" s="15"/>
      <c r="J301" s="20"/>
      <c r="K301" s="8"/>
      <c r="L301" s="8"/>
    </row>
    <row r="302" spans="1:12">
      <c r="A302" s="8">
        <v>67</v>
      </c>
      <c r="B302" s="8" t="s">
        <v>62</v>
      </c>
      <c r="C302" s="8" t="s">
        <v>12</v>
      </c>
      <c r="D302" s="20">
        <f>25721.81+5987.03</f>
        <v>31708.84</v>
      </c>
      <c r="E302" s="20">
        <v>390.03</v>
      </c>
      <c r="F302" s="15">
        <v>0</v>
      </c>
      <c r="G302" s="15">
        <v>0</v>
      </c>
      <c r="H302" s="15">
        <v>0</v>
      </c>
      <c r="I302" s="15">
        <v>0</v>
      </c>
      <c r="J302" s="20">
        <f>SUM(D302:I302)</f>
        <v>32098.87</v>
      </c>
      <c r="K302" s="8"/>
      <c r="L302" s="8"/>
    </row>
    <row r="303" spans="1:12" ht="15.75" thickBot="1">
      <c r="A303" s="8"/>
      <c r="B303" s="8"/>
      <c r="C303" s="8" t="s">
        <v>13</v>
      </c>
      <c r="D303" s="29">
        <f>440.95+102.63</f>
        <v>543.57999999999993</v>
      </c>
      <c r="E303" s="29">
        <v>11.48</v>
      </c>
      <c r="F303" s="28">
        <v>0</v>
      </c>
      <c r="G303" s="28">
        <v>0</v>
      </c>
      <c r="H303" s="28">
        <v>0</v>
      </c>
      <c r="I303" s="28">
        <v>0</v>
      </c>
      <c r="J303" s="29">
        <f>SUM(D303:I303)</f>
        <v>555.05999999999995</v>
      </c>
      <c r="K303" s="8"/>
      <c r="L303" s="8"/>
    </row>
    <row r="304" spans="1:12">
      <c r="A304" s="8"/>
      <c r="B304" s="8"/>
      <c r="C304" s="8"/>
      <c r="D304" s="20"/>
      <c r="E304" s="20"/>
      <c r="F304" s="15"/>
      <c r="G304" s="15"/>
      <c r="H304" s="15"/>
      <c r="I304" s="15"/>
      <c r="J304" s="20"/>
      <c r="K304" s="8"/>
      <c r="L304" s="8"/>
    </row>
    <row r="305" spans="1:12" ht="15.75" thickBot="1">
      <c r="A305" s="8"/>
      <c r="B305" s="8"/>
      <c r="C305" s="8" t="s">
        <v>10</v>
      </c>
      <c r="D305" s="31">
        <f t="shared" ref="D305:I305" si="47">SUM(D302:D303)</f>
        <v>32252.42</v>
      </c>
      <c r="E305" s="31">
        <f t="shared" si="47"/>
        <v>401.51</v>
      </c>
      <c r="F305" s="30">
        <f t="shared" si="47"/>
        <v>0</v>
      </c>
      <c r="G305" s="30">
        <f t="shared" si="47"/>
        <v>0</v>
      </c>
      <c r="H305" s="30">
        <f t="shared" si="47"/>
        <v>0</v>
      </c>
      <c r="I305" s="30">
        <f t="shared" si="47"/>
        <v>0</v>
      </c>
      <c r="J305" s="31">
        <f>SUM(D305:I305)</f>
        <v>32653.929999999997</v>
      </c>
      <c r="K305" s="8"/>
      <c r="L305" s="8"/>
    </row>
    <row r="306" spans="1:12" ht="15.75" thickTop="1">
      <c r="A306" s="8"/>
      <c r="B306" s="8"/>
      <c r="C306" s="8"/>
      <c r="D306" s="20"/>
      <c r="E306" s="20"/>
      <c r="F306" s="15"/>
      <c r="G306" s="15"/>
      <c r="H306" s="15"/>
      <c r="I306" s="15"/>
      <c r="J306" s="20"/>
      <c r="K306" s="8"/>
      <c r="L306" s="8"/>
    </row>
    <row r="307" spans="1:12">
      <c r="A307" s="8"/>
      <c r="B307" s="8"/>
      <c r="C307" s="8"/>
      <c r="D307" s="20"/>
      <c r="E307" s="20"/>
      <c r="F307" s="15"/>
      <c r="G307" s="15"/>
      <c r="H307" s="15"/>
      <c r="I307" s="15"/>
      <c r="J307" s="20"/>
      <c r="K307" s="8"/>
      <c r="L307" s="8"/>
    </row>
    <row r="308" spans="1:12">
      <c r="A308" s="8">
        <v>68</v>
      </c>
      <c r="B308" s="8" t="s">
        <v>63</v>
      </c>
      <c r="C308" s="8" t="s">
        <v>12</v>
      </c>
      <c r="D308" s="25">
        <f>7730.52+1817.87</f>
        <v>9548.39</v>
      </c>
      <c r="E308" s="45">
        <v>127.83</v>
      </c>
      <c r="F308" s="24">
        <v>0</v>
      </c>
      <c r="G308" s="24">
        <v>0</v>
      </c>
      <c r="H308" s="24">
        <v>0</v>
      </c>
      <c r="I308" s="24">
        <v>0</v>
      </c>
      <c r="J308" s="25">
        <f>SUM(D308:I308)</f>
        <v>9676.2199999999993</v>
      </c>
      <c r="K308" s="8"/>
      <c r="L308" s="8"/>
    </row>
    <row r="309" spans="1:12" ht="15.75" hidden="1" thickBot="1">
      <c r="A309" s="8"/>
      <c r="B309" s="8"/>
      <c r="C309" s="8" t="s">
        <v>13</v>
      </c>
      <c r="D309" s="29"/>
      <c r="E309" s="34"/>
      <c r="F309" s="28"/>
      <c r="G309" s="28"/>
      <c r="H309" s="28"/>
      <c r="I309" s="28"/>
      <c r="J309" s="29"/>
      <c r="K309" s="8"/>
      <c r="L309" s="8"/>
    </row>
    <row r="310" spans="1:12">
      <c r="A310" s="8"/>
      <c r="B310" s="8"/>
      <c r="C310" s="8"/>
      <c r="D310" s="20"/>
      <c r="E310" s="35"/>
      <c r="F310" s="15"/>
      <c r="G310" s="15"/>
      <c r="H310" s="15"/>
      <c r="I310" s="15"/>
      <c r="J310" s="20"/>
      <c r="K310" s="8"/>
      <c r="L310" s="8"/>
    </row>
    <row r="311" spans="1:12" ht="15.75" thickBot="1">
      <c r="A311" s="8"/>
      <c r="B311" s="8"/>
      <c r="C311" s="8" t="s">
        <v>10</v>
      </c>
      <c r="D311" s="31">
        <f t="shared" ref="D311:I311" si="48">SUM(D308:D309)</f>
        <v>9548.39</v>
      </c>
      <c r="E311" s="44">
        <f t="shared" si="48"/>
        <v>127.83</v>
      </c>
      <c r="F311" s="30">
        <f t="shared" si="48"/>
        <v>0</v>
      </c>
      <c r="G311" s="30">
        <f t="shared" si="48"/>
        <v>0</v>
      </c>
      <c r="H311" s="30">
        <f t="shared" si="48"/>
        <v>0</v>
      </c>
      <c r="I311" s="30">
        <f t="shared" si="48"/>
        <v>0</v>
      </c>
      <c r="J311" s="31">
        <f>SUM(D311:I311)</f>
        <v>9676.2199999999993</v>
      </c>
      <c r="K311" s="8"/>
      <c r="L311" s="8"/>
    </row>
    <row r="312" spans="1:12" ht="15.75" thickTop="1">
      <c r="A312" s="8"/>
      <c r="B312" s="8"/>
      <c r="C312" s="8"/>
      <c r="D312" s="20"/>
      <c r="E312" s="20"/>
      <c r="F312" s="15"/>
      <c r="G312" s="15"/>
      <c r="H312" s="15"/>
      <c r="I312" s="15"/>
      <c r="J312" s="20"/>
      <c r="K312" s="8"/>
      <c r="L312" s="8"/>
    </row>
    <row r="313" spans="1:12">
      <c r="A313" s="8"/>
      <c r="B313" s="8"/>
      <c r="C313" s="8"/>
      <c r="D313" s="20"/>
      <c r="E313" s="20"/>
      <c r="F313" s="15"/>
      <c r="G313" s="15"/>
      <c r="H313" s="15"/>
      <c r="I313" s="15"/>
      <c r="J313" s="20"/>
      <c r="K313" s="8"/>
      <c r="L313" s="8"/>
    </row>
    <row r="314" spans="1:12">
      <c r="A314" s="8">
        <v>69</v>
      </c>
      <c r="B314" s="8" t="s">
        <v>64</v>
      </c>
      <c r="C314" s="8" t="s">
        <v>12</v>
      </c>
      <c r="D314" s="25">
        <f>6950.92+1777.42</f>
        <v>8728.34</v>
      </c>
      <c r="E314" s="25">
        <v>3.16</v>
      </c>
      <c r="F314" s="24">
        <v>0.72</v>
      </c>
      <c r="G314" s="24">
        <v>0</v>
      </c>
      <c r="H314" s="24">
        <v>0</v>
      </c>
      <c r="I314" s="24">
        <v>0</v>
      </c>
      <c r="J314" s="25">
        <f>SUM(D314:I314)</f>
        <v>8732.2199999999993</v>
      </c>
      <c r="K314" s="8"/>
      <c r="L314" s="8"/>
    </row>
    <row r="315" spans="1:12" ht="15.75" hidden="1" thickBot="1">
      <c r="A315" s="8"/>
      <c r="B315" s="8"/>
      <c r="C315" s="8" t="s">
        <v>13</v>
      </c>
      <c r="D315" s="29"/>
      <c r="E315" s="29"/>
      <c r="F315" s="28"/>
      <c r="G315" s="28"/>
      <c r="H315" s="28"/>
      <c r="I315" s="28"/>
      <c r="J315" s="34">
        <v>0</v>
      </c>
      <c r="K315" s="8"/>
      <c r="L315" s="8"/>
    </row>
    <row r="316" spans="1:12">
      <c r="A316" s="8"/>
      <c r="B316" s="8"/>
      <c r="C316" s="8"/>
      <c r="D316" s="20"/>
      <c r="E316" s="20"/>
      <c r="F316" s="15"/>
      <c r="G316" s="15"/>
      <c r="H316" s="15"/>
      <c r="I316" s="15"/>
      <c r="J316" s="20"/>
      <c r="K316" s="8"/>
      <c r="L316" s="8"/>
    </row>
    <row r="317" spans="1:12" ht="15.75" thickBot="1">
      <c r="A317" s="8"/>
      <c r="B317" s="8"/>
      <c r="C317" s="8" t="s">
        <v>10</v>
      </c>
      <c r="D317" s="31">
        <f t="shared" ref="D317:I317" si="49">SUM(D314:D315)</f>
        <v>8728.34</v>
      </c>
      <c r="E317" s="31">
        <f t="shared" si="49"/>
        <v>3.16</v>
      </c>
      <c r="F317" s="30">
        <f t="shared" si="49"/>
        <v>0.72</v>
      </c>
      <c r="G317" s="30">
        <f t="shared" si="49"/>
        <v>0</v>
      </c>
      <c r="H317" s="30">
        <f t="shared" si="49"/>
        <v>0</v>
      </c>
      <c r="I317" s="30">
        <f t="shared" si="49"/>
        <v>0</v>
      </c>
      <c r="J317" s="31">
        <f>SUM(D317:I317)</f>
        <v>8732.2199999999993</v>
      </c>
      <c r="K317" s="8"/>
      <c r="L317" s="8"/>
    </row>
    <row r="318" spans="1:12" ht="15.75" thickTop="1">
      <c r="A318" s="8"/>
      <c r="B318" s="8"/>
      <c r="C318" s="8"/>
      <c r="D318" s="20"/>
      <c r="E318" s="20"/>
      <c r="F318" s="15"/>
      <c r="G318" s="15"/>
      <c r="H318" s="15"/>
      <c r="I318" s="15"/>
      <c r="J318" s="20"/>
      <c r="K318" s="8"/>
      <c r="L318" s="8"/>
    </row>
    <row r="319" spans="1:12">
      <c r="A319" s="8"/>
      <c r="B319" s="8"/>
      <c r="C319" s="8"/>
      <c r="D319" s="20"/>
      <c r="E319" s="20"/>
      <c r="F319" s="15"/>
      <c r="G319" s="15"/>
      <c r="H319" s="15"/>
      <c r="I319" s="15"/>
      <c r="J319" s="20"/>
      <c r="K319" s="8"/>
      <c r="L319" s="8"/>
    </row>
    <row r="320" spans="1:12">
      <c r="A320" s="8">
        <v>70</v>
      </c>
      <c r="B320" s="8" t="s">
        <v>65</v>
      </c>
      <c r="C320" s="8" t="s">
        <v>12</v>
      </c>
      <c r="D320" s="25">
        <v>0</v>
      </c>
      <c r="E320" s="45">
        <v>0</v>
      </c>
      <c r="F320" s="24">
        <v>0</v>
      </c>
      <c r="G320" s="24">
        <v>0</v>
      </c>
      <c r="H320" s="24">
        <v>0</v>
      </c>
      <c r="I320" s="24">
        <v>0</v>
      </c>
      <c r="J320" s="25">
        <f>SUM(D320:I320)</f>
        <v>0</v>
      </c>
      <c r="K320" s="8"/>
      <c r="L320" s="8"/>
    </row>
    <row r="321" spans="1:12" ht="15.75" hidden="1" thickBot="1">
      <c r="A321" s="8"/>
      <c r="B321" s="8"/>
      <c r="C321" s="8" t="s">
        <v>78</v>
      </c>
      <c r="D321" s="29"/>
      <c r="E321" s="34"/>
      <c r="F321" s="28"/>
      <c r="G321" s="28"/>
      <c r="H321" s="28"/>
      <c r="I321" s="28"/>
      <c r="J321" s="29">
        <f>SUM(D321:I321)</f>
        <v>0</v>
      </c>
      <c r="K321" s="8"/>
      <c r="L321" s="8"/>
    </row>
    <row r="322" spans="1:12">
      <c r="A322" s="8"/>
      <c r="B322" s="8"/>
      <c r="C322" s="8"/>
      <c r="D322" s="20"/>
      <c r="E322" s="35"/>
      <c r="F322" s="15"/>
      <c r="G322" s="15"/>
      <c r="H322" s="15"/>
      <c r="I322" s="15"/>
      <c r="J322" s="20"/>
      <c r="K322" s="8"/>
      <c r="L322" s="8"/>
    </row>
    <row r="323" spans="1:12" ht="15.75" thickBot="1">
      <c r="A323" s="8"/>
      <c r="B323" s="8"/>
      <c r="C323" s="8" t="s">
        <v>10</v>
      </c>
      <c r="D323" s="31">
        <f t="shared" ref="D323:I323" si="50">SUM(D320:D322)</f>
        <v>0</v>
      </c>
      <c r="E323" s="44">
        <f t="shared" si="50"/>
        <v>0</v>
      </c>
      <c r="F323" s="30">
        <f t="shared" si="50"/>
        <v>0</v>
      </c>
      <c r="G323" s="30">
        <f t="shared" si="50"/>
        <v>0</v>
      </c>
      <c r="H323" s="30">
        <f t="shared" si="50"/>
        <v>0</v>
      </c>
      <c r="I323" s="30">
        <f t="shared" si="50"/>
        <v>0</v>
      </c>
      <c r="J323" s="31">
        <f>SUM(D323:I323)</f>
        <v>0</v>
      </c>
      <c r="K323" s="8"/>
      <c r="L323" s="8"/>
    </row>
    <row r="324" spans="1:12" ht="15.75" thickTop="1">
      <c r="A324" s="8"/>
      <c r="B324" s="8"/>
      <c r="C324" s="8"/>
      <c r="D324" s="20"/>
      <c r="E324" s="20"/>
      <c r="F324" s="15"/>
      <c r="G324" s="15"/>
      <c r="H324" s="15"/>
      <c r="I324" s="15"/>
      <c r="J324" s="20"/>
      <c r="K324" s="8"/>
      <c r="L324" s="8"/>
    </row>
    <row r="325" spans="1:12">
      <c r="A325" s="8"/>
      <c r="B325" s="8"/>
      <c r="C325" s="8" t="s">
        <v>66</v>
      </c>
      <c r="D325" s="20">
        <f t="shared" ref="D325:I325" si="51">SUM(D9:D323)/2</f>
        <v>936271.05000000051</v>
      </c>
      <c r="E325" s="20">
        <f t="shared" si="51"/>
        <v>9212</v>
      </c>
      <c r="F325" s="15">
        <f t="shared" si="51"/>
        <v>4748.7300000000005</v>
      </c>
      <c r="G325" s="15">
        <f t="shared" si="51"/>
        <v>0</v>
      </c>
      <c r="H325" s="15">
        <f t="shared" si="51"/>
        <v>0</v>
      </c>
      <c r="I325" s="15">
        <f t="shared" si="51"/>
        <v>0</v>
      </c>
      <c r="J325" s="20">
        <f>SUM(D325:I325)</f>
        <v>950231.78000000049</v>
      </c>
      <c r="K325" s="8"/>
      <c r="L325" s="8"/>
    </row>
    <row r="326" spans="1:12">
      <c r="A326" s="8"/>
      <c r="B326" s="8"/>
      <c r="C326" s="8"/>
      <c r="D326" s="20"/>
      <c r="E326" s="20"/>
      <c r="F326" s="15"/>
      <c r="G326" s="8"/>
      <c r="H326" s="8"/>
      <c r="I326" s="8"/>
      <c r="J326" s="20"/>
      <c r="K326" s="8"/>
      <c r="L326" s="8"/>
    </row>
    <row r="327" spans="1:12">
      <c r="A327" s="8"/>
      <c r="B327" s="8"/>
      <c r="C327" s="8"/>
      <c r="D327" s="20"/>
      <c r="E327" s="20"/>
      <c r="F327" s="8"/>
      <c r="G327" s="8"/>
      <c r="H327" s="8"/>
      <c r="I327" s="8"/>
      <c r="J327" s="20"/>
      <c r="K327" s="8"/>
      <c r="L327" s="8"/>
    </row>
  </sheetData>
  <pageMargins left="0.25" right="0.25" top="0.25" bottom="0.25" header="0.5" footer="0.5"/>
  <pageSetup scale="70" fitToHeight="50" orientation="landscape" r:id="rId1"/>
  <headerFooter alignWithMargins="0"/>
  <rowBreaks count="51" manualBreakCount="51">
    <brk id="7" max="65535" man="1"/>
    <brk id="13" max="16383" man="1"/>
    <brk id="19" max="16383" man="1"/>
    <brk id="25" max="16383" man="1"/>
    <brk id="31" max="16383" man="1"/>
    <brk id="37" max="16383" man="1"/>
    <brk id="44" max="16383" man="1"/>
    <brk id="49" max="65535" man="1"/>
    <brk id="57" max="16383" man="1"/>
    <brk id="66" max="16383" man="1"/>
    <brk id="72" max="16383" man="1"/>
    <brk id="78" max="16383" man="1"/>
    <brk id="86" max="16383" man="1"/>
    <brk id="92" max="16383" man="1"/>
    <brk id="100" max="16383" man="1"/>
    <brk id="106" max="16383" man="1"/>
    <brk id="113" max="16383" man="1"/>
    <brk id="118" max="16383" man="1"/>
    <brk id="126" max="16383" man="1"/>
    <brk id="130" max="9" man="1"/>
    <brk id="136" max="16383" man="1"/>
    <brk id="143" max="16383" man="1"/>
    <brk id="149" max="16383" man="1"/>
    <brk id="157" max="16383" man="1"/>
    <brk id="162" max="9" man="1"/>
    <brk id="168" max="16383" man="1"/>
    <brk id="173" max="16383" man="1"/>
    <brk id="178" max="16383" man="1"/>
    <brk id="183" max="16383" man="1"/>
    <brk id="188" max="16383" man="1"/>
    <brk id="194" max="16383" man="1"/>
    <brk id="201" max="16383" man="1"/>
    <brk id="207" max="16383" man="1"/>
    <brk id="215" max="16383" man="1"/>
    <brk id="221" max="16383" man="1"/>
    <brk id="227" max="16383" man="1"/>
    <brk id="233" max="16383" man="1"/>
    <brk id="241" max="16383" man="1"/>
    <brk id="247" max="16383" man="1"/>
    <brk id="253" max="16383" man="1"/>
    <brk id="262" max="16383" man="1"/>
    <brk id="269" max="16383" man="1"/>
    <brk id="275" max="16383" man="1"/>
    <brk id="281" max="16383" man="1"/>
    <brk id="286" max="16383" man="1"/>
    <brk id="292" max="16383" man="1"/>
    <brk id="300" max="16383" man="1"/>
    <brk id="306" max="16383" man="1"/>
    <brk id="312" max="16383" man="1"/>
    <brk id="318" max="16383" man="1"/>
    <brk id="32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autoPageBreaks="0"/>
  </sheetPr>
  <dimension ref="A1:L327"/>
  <sheetViews>
    <sheetView showOutlineSymbols="0" defaultGridColor="0" view="pageBreakPreview" topLeftCell="A85" colorId="23" zoomScale="60" zoomScaleNormal="75" workbookViewId="0">
      <selection activeCell="E10" sqref="E10"/>
    </sheetView>
  </sheetViews>
  <sheetFormatPr defaultColWidth="9.6640625" defaultRowHeight="15"/>
  <cols>
    <col min="1" max="1" width="9.6640625" style="10" customWidth="1"/>
    <col min="2" max="2" width="27.44140625" style="10" bestFit="1" customWidth="1"/>
    <col min="3" max="3" width="24.44140625" style="10" bestFit="1" customWidth="1"/>
    <col min="4" max="5" width="12.77734375" style="23" customWidth="1"/>
    <col min="6" max="6" width="12.6640625" style="10" customWidth="1"/>
    <col min="7" max="8" width="11.6640625" style="10" hidden="1" customWidth="1"/>
    <col min="9" max="9" width="9.6640625" style="10" hidden="1" customWidth="1"/>
    <col min="10" max="10" width="14.44140625" style="23" customWidth="1"/>
    <col min="11" max="16384" width="9.6640625" style="10"/>
  </cols>
  <sheetData>
    <row r="1" spans="1:12">
      <c r="A1" s="8"/>
      <c r="B1" s="8"/>
      <c r="C1" s="8"/>
      <c r="D1" s="20"/>
      <c r="E1" s="20"/>
      <c r="F1" s="8"/>
      <c r="G1" s="8"/>
      <c r="H1" s="8"/>
      <c r="I1" s="9"/>
      <c r="J1" s="20"/>
      <c r="K1" s="8"/>
      <c r="L1" s="8"/>
    </row>
    <row r="2" spans="1:12">
      <c r="A2" s="8"/>
      <c r="B2" s="8"/>
      <c r="C2" s="8"/>
      <c r="D2" s="20"/>
      <c r="E2" s="20"/>
      <c r="F2" s="8"/>
      <c r="G2" s="8"/>
      <c r="H2" s="8"/>
      <c r="I2" s="8"/>
      <c r="J2" s="20"/>
      <c r="K2" s="8"/>
      <c r="L2" s="8"/>
    </row>
    <row r="3" spans="1:12">
      <c r="A3" s="8"/>
      <c r="B3" s="8"/>
      <c r="C3" s="8"/>
      <c r="D3" s="20"/>
      <c r="E3" s="20"/>
      <c r="F3" s="8"/>
      <c r="G3" s="8"/>
      <c r="H3" s="8"/>
      <c r="I3" s="8"/>
      <c r="J3" s="20"/>
      <c r="K3" s="8"/>
      <c r="L3" s="8"/>
    </row>
    <row r="4" spans="1:12" ht="15.75">
      <c r="A4" s="8"/>
      <c r="B4" s="11" t="s">
        <v>1</v>
      </c>
      <c r="C4" s="9"/>
      <c r="D4" s="21"/>
      <c r="E4" s="21"/>
      <c r="F4" s="9"/>
      <c r="G4" s="9"/>
      <c r="H4" s="9"/>
      <c r="I4" s="9"/>
      <c r="J4" s="21"/>
      <c r="K4" s="8"/>
      <c r="L4" s="8"/>
    </row>
    <row r="5" spans="1:12" ht="15.75">
      <c r="A5" s="8"/>
      <c r="B5" s="11" t="s">
        <v>118</v>
      </c>
      <c r="C5" s="9"/>
      <c r="D5" s="21"/>
      <c r="E5" s="21"/>
      <c r="F5" s="9"/>
      <c r="G5" s="9"/>
      <c r="H5" s="9"/>
      <c r="I5" s="9"/>
      <c r="J5" s="21"/>
      <c r="K5" s="8"/>
      <c r="L5" s="8"/>
    </row>
    <row r="6" spans="1:12">
      <c r="A6" s="8"/>
      <c r="B6" s="8"/>
      <c r="C6" s="8"/>
      <c r="D6" s="20"/>
      <c r="E6" s="20"/>
      <c r="F6" s="8"/>
      <c r="G6" s="8"/>
      <c r="H6" s="8"/>
      <c r="I6" s="8"/>
      <c r="J6" s="20"/>
      <c r="K6" s="8"/>
      <c r="L6" s="8"/>
    </row>
    <row r="7" spans="1:12">
      <c r="A7" s="8"/>
      <c r="B7" s="12" t="s">
        <v>3</v>
      </c>
      <c r="C7" s="12" t="s">
        <v>4</v>
      </c>
      <c r="D7" s="37">
        <v>2015</v>
      </c>
      <c r="E7" s="37">
        <v>2014</v>
      </c>
      <c r="F7" s="13">
        <v>2013</v>
      </c>
      <c r="G7" s="13">
        <v>2011</v>
      </c>
      <c r="H7" s="13">
        <v>2010</v>
      </c>
      <c r="I7" s="14">
        <v>2009</v>
      </c>
      <c r="J7" s="22" t="s">
        <v>10</v>
      </c>
      <c r="K7" s="8"/>
      <c r="L7" s="8"/>
    </row>
    <row r="8" spans="1:12">
      <c r="A8" s="8"/>
      <c r="B8" s="8"/>
      <c r="C8" s="8"/>
      <c r="D8" s="20"/>
      <c r="E8" s="20"/>
      <c r="F8" s="8"/>
      <c r="G8" s="8"/>
      <c r="H8" s="8"/>
      <c r="I8" s="8"/>
      <c r="J8" s="20"/>
      <c r="K8" s="8"/>
      <c r="L8" s="8"/>
    </row>
    <row r="9" spans="1:12">
      <c r="A9" s="8">
        <v>21</v>
      </c>
      <c r="B9" s="8" t="s">
        <v>11</v>
      </c>
      <c r="C9" s="8" t="s">
        <v>12</v>
      </c>
      <c r="D9" s="20">
        <f>13663.28+3732.19</f>
        <v>17395.47</v>
      </c>
      <c r="E9" s="20">
        <v>91.7</v>
      </c>
      <c r="F9" s="15">
        <v>0.75</v>
      </c>
      <c r="G9" s="15">
        <v>0</v>
      </c>
      <c r="H9" s="15">
        <v>0</v>
      </c>
      <c r="I9" s="15">
        <v>0</v>
      </c>
      <c r="J9" s="20">
        <f>SUM(D9:I9)</f>
        <v>17487.920000000002</v>
      </c>
      <c r="K9" s="8"/>
      <c r="L9" s="8"/>
    </row>
    <row r="10" spans="1:12" ht="15.75" thickBot="1">
      <c r="A10" s="8"/>
      <c r="B10" s="8"/>
      <c r="C10" s="8" t="s">
        <v>13</v>
      </c>
      <c r="D10" s="29">
        <f>344.96+94.23</f>
        <v>439.19</v>
      </c>
      <c r="E10" s="29">
        <v>2.21</v>
      </c>
      <c r="F10" s="28">
        <v>0.02</v>
      </c>
      <c r="G10" s="28">
        <v>0</v>
      </c>
      <c r="H10" s="28">
        <v>0</v>
      </c>
      <c r="I10" s="28">
        <v>0</v>
      </c>
      <c r="J10" s="29">
        <f>SUM(D10:I10)</f>
        <v>441.41999999999996</v>
      </c>
      <c r="K10" s="8"/>
      <c r="L10" s="8"/>
    </row>
    <row r="11" spans="1:12">
      <c r="A11" s="8"/>
      <c r="B11" s="8"/>
      <c r="C11" s="8"/>
      <c r="D11" s="20"/>
      <c r="E11" s="20"/>
      <c r="F11" s="15"/>
      <c r="G11" s="15"/>
      <c r="H11" s="15"/>
      <c r="I11" s="15"/>
      <c r="J11" s="20"/>
      <c r="K11" s="8"/>
      <c r="L11" s="8"/>
    </row>
    <row r="12" spans="1:12" ht="15.75" thickBot="1">
      <c r="A12" s="8"/>
      <c r="B12" s="8"/>
      <c r="C12" s="8" t="s">
        <v>10</v>
      </c>
      <c r="D12" s="31">
        <f t="shared" ref="D12:I12" si="0">SUM(D9:D10)</f>
        <v>17834.66</v>
      </c>
      <c r="E12" s="31">
        <f t="shared" si="0"/>
        <v>93.91</v>
      </c>
      <c r="F12" s="30">
        <f t="shared" si="0"/>
        <v>0.77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>SUM(D12:I12)</f>
        <v>17929.34</v>
      </c>
      <c r="K12" s="8"/>
      <c r="L12" s="8"/>
    </row>
    <row r="13" spans="1:12" ht="15.75" thickTop="1">
      <c r="A13" s="8"/>
      <c r="B13" s="8"/>
      <c r="C13" s="8"/>
      <c r="D13" s="20"/>
      <c r="E13" s="20"/>
      <c r="F13" s="15"/>
      <c r="G13" s="8"/>
      <c r="H13" s="8"/>
      <c r="I13" s="8"/>
      <c r="J13" s="20"/>
      <c r="K13" s="8"/>
      <c r="L13" s="8"/>
    </row>
    <row r="14" spans="1:12">
      <c r="A14" s="8"/>
      <c r="B14" s="8"/>
      <c r="C14" s="8"/>
      <c r="D14" s="20"/>
      <c r="E14" s="20"/>
      <c r="F14" s="15"/>
      <c r="G14" s="8"/>
      <c r="H14" s="8"/>
      <c r="I14" s="8"/>
      <c r="J14" s="20"/>
      <c r="K14" s="8"/>
      <c r="L14" s="8"/>
    </row>
    <row r="15" spans="1:12">
      <c r="A15" s="8">
        <v>22</v>
      </c>
      <c r="B15" s="8" t="s">
        <v>15</v>
      </c>
      <c r="C15" s="8" t="s">
        <v>12</v>
      </c>
      <c r="D15" s="20">
        <f>8226.6+1840.4</f>
        <v>10067</v>
      </c>
      <c r="E15" s="20">
        <v>231.48</v>
      </c>
      <c r="F15" s="15">
        <v>116.54</v>
      </c>
      <c r="G15" s="15">
        <v>0</v>
      </c>
      <c r="H15" s="15">
        <v>0</v>
      </c>
      <c r="I15" s="15">
        <v>0</v>
      </c>
      <c r="J15" s="20">
        <f>SUM(D15:I15)</f>
        <v>10415.02</v>
      </c>
      <c r="K15" s="8"/>
      <c r="L15" s="8"/>
    </row>
    <row r="16" spans="1:12" ht="15.75" thickBot="1">
      <c r="A16" s="8"/>
      <c r="B16" s="8"/>
      <c r="C16" s="8" t="s">
        <v>13</v>
      </c>
      <c r="D16" s="29">
        <f>396.56+88.72</f>
        <v>485.28</v>
      </c>
      <c r="E16" s="29">
        <v>5.53</v>
      </c>
      <c r="F16" s="28">
        <v>2.98</v>
      </c>
      <c r="G16" s="28">
        <v>0</v>
      </c>
      <c r="H16" s="28">
        <v>0</v>
      </c>
      <c r="I16" s="28">
        <v>0</v>
      </c>
      <c r="J16" s="29">
        <f>SUM(D16:I16)</f>
        <v>493.78999999999996</v>
      </c>
      <c r="K16" s="8"/>
      <c r="L16" s="8"/>
    </row>
    <row r="17" spans="1:12">
      <c r="A17" s="8"/>
      <c r="B17" s="8"/>
      <c r="C17" s="8"/>
      <c r="D17" s="20"/>
      <c r="E17" s="20"/>
      <c r="F17" s="15"/>
      <c r="G17" s="15"/>
      <c r="H17" s="15"/>
      <c r="I17" s="15"/>
      <c r="J17" s="20"/>
      <c r="K17" s="8"/>
      <c r="L17" s="8"/>
    </row>
    <row r="18" spans="1:12" ht="15.75" thickBot="1">
      <c r="A18" s="8"/>
      <c r="B18" s="8"/>
      <c r="C18" s="8" t="s">
        <v>10</v>
      </c>
      <c r="D18" s="31">
        <f t="shared" ref="D18:I18" si="1">SUM(D15:D16)</f>
        <v>10552.28</v>
      </c>
      <c r="E18" s="31">
        <f t="shared" si="1"/>
        <v>237.01</v>
      </c>
      <c r="F18" s="30">
        <f t="shared" si="1"/>
        <v>119.52000000000001</v>
      </c>
      <c r="G18" s="30">
        <f t="shared" si="1"/>
        <v>0</v>
      </c>
      <c r="H18" s="30">
        <f t="shared" si="1"/>
        <v>0</v>
      </c>
      <c r="I18" s="30">
        <f t="shared" si="1"/>
        <v>0</v>
      </c>
      <c r="J18" s="31">
        <f>SUM(D18:I18)</f>
        <v>10908.810000000001</v>
      </c>
      <c r="K18" s="8"/>
      <c r="L18" s="8"/>
    </row>
    <row r="19" spans="1:12" ht="15.75" thickTop="1">
      <c r="A19" s="8"/>
      <c r="B19" s="8"/>
      <c r="C19" s="8"/>
      <c r="D19" s="20"/>
      <c r="E19" s="20"/>
      <c r="F19" s="15"/>
      <c r="G19" s="15"/>
      <c r="H19" s="15"/>
      <c r="I19" s="15"/>
      <c r="J19" s="20"/>
      <c r="K19" s="8"/>
      <c r="L19" s="8"/>
    </row>
    <row r="20" spans="1:12">
      <c r="A20" s="8"/>
      <c r="B20" s="8"/>
      <c r="C20" s="8"/>
      <c r="D20" s="20"/>
      <c r="E20" s="20"/>
      <c r="F20" s="15"/>
      <c r="G20" s="15"/>
      <c r="H20" s="15"/>
      <c r="I20" s="15"/>
      <c r="J20" s="20"/>
      <c r="K20" s="8"/>
      <c r="L20" s="8"/>
    </row>
    <row r="21" spans="1:12">
      <c r="A21" s="8">
        <v>23</v>
      </c>
      <c r="B21" s="8" t="s">
        <v>16</v>
      </c>
      <c r="C21" s="8" t="s">
        <v>12</v>
      </c>
      <c r="D21" s="25">
        <f>13092.68+3169.2</f>
        <v>16261.880000000001</v>
      </c>
      <c r="E21" s="48">
        <v>709.37</v>
      </c>
      <c r="F21" s="24">
        <v>398.72</v>
      </c>
      <c r="G21" s="24">
        <v>0</v>
      </c>
      <c r="H21" s="24">
        <v>0</v>
      </c>
      <c r="I21" s="24">
        <v>0</v>
      </c>
      <c r="J21" s="25">
        <f>SUM(D21:I21)</f>
        <v>17369.97</v>
      </c>
      <c r="K21" s="8"/>
      <c r="L21" s="8"/>
    </row>
    <row r="22" spans="1:12" ht="15.75" hidden="1" thickBot="1">
      <c r="A22" s="8"/>
      <c r="B22" s="8"/>
      <c r="C22" s="8" t="s">
        <v>13</v>
      </c>
      <c r="D22" s="29"/>
      <c r="E22" s="29"/>
      <c r="F22" s="28"/>
      <c r="G22" s="28"/>
      <c r="H22" s="28"/>
      <c r="I22" s="28"/>
      <c r="J22" s="29">
        <f>SUM(D22:I22)</f>
        <v>0</v>
      </c>
      <c r="K22" s="8"/>
      <c r="L22" s="8"/>
    </row>
    <row r="23" spans="1:12">
      <c r="A23" s="8"/>
      <c r="B23" s="8"/>
      <c r="C23" s="8"/>
      <c r="D23" s="20"/>
      <c r="E23" s="20"/>
      <c r="F23" s="15"/>
      <c r="G23" s="15"/>
      <c r="H23" s="15"/>
      <c r="I23" s="15"/>
      <c r="J23" s="20"/>
      <c r="K23" s="8"/>
      <c r="L23" s="8"/>
    </row>
    <row r="24" spans="1:12" ht="15.75" thickBot="1">
      <c r="A24" s="8"/>
      <c r="B24" s="8"/>
      <c r="C24" s="8" t="s">
        <v>10</v>
      </c>
      <c r="D24" s="31">
        <f t="shared" ref="D24:I24" si="2">SUM(D21:D22)</f>
        <v>16261.880000000001</v>
      </c>
      <c r="E24" s="31">
        <f t="shared" si="2"/>
        <v>709.37</v>
      </c>
      <c r="F24" s="30">
        <f t="shared" si="2"/>
        <v>398.72</v>
      </c>
      <c r="G24" s="30">
        <f t="shared" si="2"/>
        <v>0</v>
      </c>
      <c r="H24" s="30">
        <f t="shared" si="2"/>
        <v>0</v>
      </c>
      <c r="I24" s="30">
        <f t="shared" si="2"/>
        <v>0</v>
      </c>
      <c r="J24" s="31">
        <f>SUM(D24:I24)</f>
        <v>17369.97</v>
      </c>
      <c r="K24" s="8"/>
      <c r="L24" s="8"/>
    </row>
    <row r="25" spans="1:12" ht="15.75" thickTop="1">
      <c r="A25" s="8"/>
      <c r="B25" s="8"/>
      <c r="C25" s="8"/>
      <c r="D25" s="20"/>
      <c r="E25" s="20"/>
      <c r="F25" s="15"/>
      <c r="G25" s="15"/>
      <c r="H25" s="15"/>
      <c r="I25" s="15"/>
      <c r="J25" s="20"/>
      <c r="K25" s="8"/>
      <c r="L25" s="8"/>
    </row>
    <row r="26" spans="1:12">
      <c r="A26" s="8"/>
      <c r="B26" s="8"/>
      <c r="C26" s="8"/>
      <c r="D26" s="20"/>
      <c r="E26" s="20"/>
      <c r="F26" s="15"/>
      <c r="G26" s="8"/>
      <c r="H26" s="8"/>
      <c r="I26" s="8"/>
      <c r="J26" s="20"/>
      <c r="K26" s="8"/>
      <c r="L26" s="8"/>
    </row>
    <row r="27" spans="1:12">
      <c r="A27" s="8"/>
      <c r="B27" s="8"/>
      <c r="C27" s="8"/>
      <c r="D27" s="20"/>
      <c r="E27" s="20"/>
      <c r="F27" s="15"/>
      <c r="G27" s="15"/>
      <c r="H27" s="15"/>
      <c r="I27" s="15"/>
      <c r="J27" s="20"/>
      <c r="K27" s="8"/>
      <c r="L27" s="8"/>
    </row>
    <row r="28" spans="1:12" ht="15.75" thickBot="1">
      <c r="A28" s="8">
        <v>24</v>
      </c>
      <c r="B28" s="8" t="s">
        <v>17</v>
      </c>
      <c r="C28" s="8" t="s">
        <v>12</v>
      </c>
      <c r="D28" s="29">
        <f>4882.41+1680.73</f>
        <v>6563.1399999999994</v>
      </c>
      <c r="E28" s="34">
        <v>0</v>
      </c>
      <c r="F28" s="28">
        <v>0</v>
      </c>
      <c r="G28" s="28">
        <v>0</v>
      </c>
      <c r="H28" s="28">
        <v>0</v>
      </c>
      <c r="I28" s="28">
        <v>0</v>
      </c>
      <c r="J28" s="29">
        <f>SUM(D28:I28)</f>
        <v>6563.1399999999994</v>
      </c>
      <c r="K28" s="8"/>
      <c r="L28" s="8"/>
    </row>
    <row r="29" spans="1:12">
      <c r="A29" s="8"/>
      <c r="B29" s="8"/>
      <c r="C29" s="8"/>
      <c r="D29" s="20"/>
      <c r="E29" s="35"/>
      <c r="F29" s="15"/>
      <c r="G29" s="15"/>
      <c r="H29" s="15"/>
      <c r="I29" s="15"/>
      <c r="J29" s="20"/>
      <c r="K29" s="8"/>
      <c r="L29" s="8"/>
    </row>
    <row r="30" spans="1:12" ht="15.75" thickBot="1">
      <c r="A30" s="8"/>
      <c r="B30" s="8"/>
      <c r="C30" s="8" t="s">
        <v>10</v>
      </c>
      <c r="D30" s="31">
        <f t="shared" ref="D30:I30" si="3">SUM(D28:D29)</f>
        <v>6563.1399999999994</v>
      </c>
      <c r="E30" s="44">
        <f t="shared" si="3"/>
        <v>0</v>
      </c>
      <c r="F30" s="30">
        <f t="shared" si="3"/>
        <v>0</v>
      </c>
      <c r="G30" s="30">
        <f t="shared" si="3"/>
        <v>0</v>
      </c>
      <c r="H30" s="30">
        <f t="shared" si="3"/>
        <v>0</v>
      </c>
      <c r="I30" s="30">
        <f t="shared" si="3"/>
        <v>0</v>
      </c>
      <c r="J30" s="31">
        <f>SUM(D30:I30)</f>
        <v>6563.1399999999994</v>
      </c>
      <c r="K30" s="8"/>
      <c r="L30" s="8"/>
    </row>
    <row r="31" spans="1:12" ht="15.75" thickTop="1">
      <c r="A31" s="8"/>
      <c r="B31" s="8"/>
      <c r="C31" s="8"/>
      <c r="D31" s="20"/>
      <c r="E31" s="35"/>
      <c r="F31" s="15"/>
      <c r="G31" s="15"/>
      <c r="H31" s="15"/>
      <c r="I31" s="15"/>
      <c r="J31" s="20"/>
      <c r="K31" s="8"/>
      <c r="L31" s="8"/>
    </row>
    <row r="32" spans="1:12">
      <c r="A32" s="8"/>
      <c r="B32" s="8"/>
      <c r="C32" s="8"/>
      <c r="D32" s="20"/>
      <c r="E32" s="35"/>
      <c r="F32" s="15"/>
      <c r="G32" s="8"/>
      <c r="H32" s="8"/>
      <c r="I32" s="8"/>
      <c r="J32" s="20"/>
      <c r="K32" s="8"/>
      <c r="L32" s="8"/>
    </row>
    <row r="33" spans="1:12">
      <c r="A33" s="8"/>
      <c r="B33" s="8"/>
      <c r="C33" s="8"/>
      <c r="D33" s="20"/>
      <c r="E33" s="35"/>
      <c r="F33" s="15"/>
      <c r="G33" s="15"/>
      <c r="H33" s="15"/>
      <c r="I33" s="15"/>
      <c r="J33" s="20"/>
      <c r="K33" s="8"/>
      <c r="L33" s="8"/>
    </row>
    <row r="34" spans="1:12" ht="15.75" thickBot="1">
      <c r="A34" s="8">
        <v>25</v>
      </c>
      <c r="B34" s="8" t="s">
        <v>18</v>
      </c>
      <c r="C34" s="8" t="s">
        <v>12</v>
      </c>
      <c r="D34" s="34">
        <v>0</v>
      </c>
      <c r="E34" s="34">
        <v>0</v>
      </c>
      <c r="F34" s="28">
        <v>0</v>
      </c>
      <c r="G34" s="28">
        <v>0</v>
      </c>
      <c r="H34" s="28">
        <v>0</v>
      </c>
      <c r="I34" s="28">
        <v>0</v>
      </c>
      <c r="J34" s="34">
        <f>SUM(D34:I34)</f>
        <v>0</v>
      </c>
      <c r="K34" s="8"/>
      <c r="L34" s="8"/>
    </row>
    <row r="35" spans="1:12">
      <c r="A35" s="8"/>
      <c r="B35" s="8"/>
      <c r="C35" s="8"/>
      <c r="D35" s="35"/>
      <c r="E35" s="35"/>
      <c r="F35" s="15"/>
      <c r="G35" s="15"/>
      <c r="H35" s="15"/>
      <c r="I35" s="15"/>
      <c r="J35" s="35"/>
      <c r="K35" s="8"/>
      <c r="L35" s="8"/>
    </row>
    <row r="36" spans="1:12" ht="15.75" thickBot="1">
      <c r="A36" s="8"/>
      <c r="B36" s="8"/>
      <c r="C36" s="8" t="s">
        <v>10</v>
      </c>
      <c r="D36" s="44">
        <f t="shared" ref="D36:I36" si="4">SUM(D34:D35)</f>
        <v>0</v>
      </c>
      <c r="E36" s="44">
        <f t="shared" si="4"/>
        <v>0</v>
      </c>
      <c r="F36" s="30">
        <f t="shared" si="4"/>
        <v>0</v>
      </c>
      <c r="G36" s="30">
        <f t="shared" si="4"/>
        <v>0</v>
      </c>
      <c r="H36" s="30">
        <f t="shared" si="4"/>
        <v>0</v>
      </c>
      <c r="I36" s="30">
        <f t="shared" si="4"/>
        <v>0</v>
      </c>
      <c r="J36" s="44">
        <f>SUM(D36:I36)</f>
        <v>0</v>
      </c>
      <c r="K36" s="8"/>
      <c r="L36" s="8"/>
    </row>
    <row r="37" spans="1:12" ht="15.75" thickTop="1">
      <c r="A37" s="8"/>
      <c r="B37" s="8"/>
      <c r="C37" s="8"/>
      <c r="D37" s="20"/>
      <c r="E37" s="20"/>
      <c r="F37" s="15"/>
      <c r="G37" s="8"/>
      <c r="H37" s="8"/>
      <c r="I37" s="8"/>
      <c r="J37" s="20"/>
      <c r="K37" s="8"/>
      <c r="L37" s="8"/>
    </row>
    <row r="38" spans="1:12">
      <c r="A38" s="8"/>
      <c r="B38" s="8"/>
      <c r="C38" s="8"/>
      <c r="D38" s="20"/>
      <c r="E38" s="20"/>
      <c r="F38" s="15"/>
      <c r="G38" s="15"/>
      <c r="H38" s="15"/>
      <c r="I38" s="15"/>
      <c r="J38" s="20"/>
      <c r="K38" s="8"/>
      <c r="L38" s="8"/>
    </row>
    <row r="39" spans="1:12">
      <c r="A39" s="8"/>
      <c r="B39" s="8"/>
      <c r="C39" s="8"/>
      <c r="D39" s="20"/>
      <c r="E39" s="20"/>
      <c r="F39" s="15"/>
      <c r="G39" s="15"/>
      <c r="H39" s="15"/>
      <c r="I39" s="15"/>
      <c r="J39" s="20"/>
      <c r="K39" s="8"/>
      <c r="L39" s="8"/>
    </row>
    <row r="40" spans="1:12">
      <c r="A40" s="8">
        <v>26</v>
      </c>
      <c r="B40" s="8" t="s">
        <v>19</v>
      </c>
      <c r="C40" s="8" t="s">
        <v>12</v>
      </c>
      <c r="D40" s="20">
        <f>10783.51+3009.35</f>
        <v>13792.86</v>
      </c>
      <c r="E40" s="35">
        <v>17.45</v>
      </c>
      <c r="F40" s="15">
        <v>0</v>
      </c>
      <c r="G40" s="15">
        <v>0</v>
      </c>
      <c r="H40" s="15">
        <v>0</v>
      </c>
      <c r="I40" s="15">
        <v>0</v>
      </c>
      <c r="J40" s="20">
        <f>SUM(D40:I40)</f>
        <v>13810.310000000001</v>
      </c>
      <c r="K40" s="8"/>
      <c r="L40" s="8"/>
    </row>
    <row r="41" spans="1:12" ht="15.75" thickBot="1">
      <c r="A41" s="8"/>
      <c r="B41" s="8"/>
      <c r="C41" s="8" t="s">
        <v>13</v>
      </c>
      <c r="D41" s="29">
        <v>0</v>
      </c>
      <c r="E41" s="34">
        <v>0</v>
      </c>
      <c r="F41" s="28">
        <v>0</v>
      </c>
      <c r="G41" s="28">
        <v>0</v>
      </c>
      <c r="H41" s="28">
        <v>0</v>
      </c>
      <c r="I41" s="28">
        <v>0</v>
      </c>
      <c r="J41" s="29">
        <f>SUM(D41:I41)</f>
        <v>0</v>
      </c>
      <c r="K41" s="8"/>
      <c r="L41" s="8"/>
    </row>
    <row r="42" spans="1:12">
      <c r="A42" s="8"/>
      <c r="B42" s="8"/>
      <c r="C42" s="8"/>
      <c r="D42" s="20"/>
      <c r="E42" s="35"/>
      <c r="F42" s="15"/>
      <c r="G42" s="15"/>
      <c r="H42" s="15"/>
      <c r="I42" s="15"/>
      <c r="J42" s="20"/>
      <c r="K42" s="8"/>
      <c r="L42" s="8"/>
    </row>
    <row r="43" spans="1:12" ht="15.75" thickBot="1">
      <c r="A43" s="8"/>
      <c r="B43" s="8"/>
      <c r="C43" s="8" t="s">
        <v>10</v>
      </c>
      <c r="D43" s="31">
        <f t="shared" ref="D43:I43" si="5">SUM(D40:D41)</f>
        <v>13792.86</v>
      </c>
      <c r="E43" s="44">
        <f t="shared" si="5"/>
        <v>17.45</v>
      </c>
      <c r="F43" s="30">
        <f t="shared" si="5"/>
        <v>0</v>
      </c>
      <c r="G43" s="30">
        <f t="shared" si="5"/>
        <v>0</v>
      </c>
      <c r="H43" s="30">
        <f t="shared" si="5"/>
        <v>0</v>
      </c>
      <c r="I43" s="30">
        <f t="shared" si="5"/>
        <v>0</v>
      </c>
      <c r="J43" s="31">
        <f>SUM(D43:I43)</f>
        <v>13810.310000000001</v>
      </c>
      <c r="K43" s="8"/>
      <c r="L43" s="8"/>
    </row>
    <row r="44" spans="1:12" ht="15.75" thickTop="1">
      <c r="A44" s="8"/>
      <c r="B44" s="8"/>
      <c r="C44" s="8"/>
      <c r="D44" s="20"/>
      <c r="E44" s="20"/>
      <c r="F44" s="15"/>
      <c r="G44" s="15"/>
      <c r="H44" s="15"/>
      <c r="I44" s="15"/>
      <c r="J44" s="20"/>
      <c r="K44" s="8"/>
      <c r="L44" s="8"/>
    </row>
    <row r="45" spans="1:12">
      <c r="A45" s="8"/>
      <c r="B45" s="8"/>
      <c r="C45" s="8"/>
      <c r="D45" s="20"/>
      <c r="E45" s="20"/>
      <c r="F45" s="15"/>
      <c r="G45" s="15"/>
      <c r="H45" s="15"/>
      <c r="I45" s="15"/>
      <c r="J45" s="20"/>
      <c r="K45" s="8"/>
      <c r="L45" s="8"/>
    </row>
    <row r="46" spans="1:12" ht="15.75" thickBot="1">
      <c r="A46" s="8">
        <v>27</v>
      </c>
      <c r="B46" s="8" t="s">
        <v>20</v>
      </c>
      <c r="C46" s="8" t="s">
        <v>12</v>
      </c>
      <c r="D46" s="29">
        <f>10236.22+2816.26</f>
        <v>13052.48</v>
      </c>
      <c r="E46" s="29">
        <v>48.95</v>
      </c>
      <c r="F46" s="28">
        <v>0</v>
      </c>
      <c r="G46" s="28">
        <v>0</v>
      </c>
      <c r="H46" s="28">
        <v>0</v>
      </c>
      <c r="I46" s="28">
        <v>0</v>
      </c>
      <c r="J46" s="29">
        <f>SUM(D46:I46)</f>
        <v>13101.43</v>
      </c>
      <c r="K46" s="8"/>
      <c r="L46" s="8"/>
    </row>
    <row r="47" spans="1:12">
      <c r="A47" s="8"/>
      <c r="B47" s="8"/>
      <c r="C47" s="8"/>
      <c r="D47" s="20"/>
      <c r="E47" s="20"/>
      <c r="F47" s="15"/>
      <c r="G47" s="15"/>
      <c r="H47" s="15"/>
      <c r="I47" s="15"/>
      <c r="J47" s="20"/>
      <c r="K47" s="8"/>
      <c r="L47" s="8"/>
    </row>
    <row r="48" spans="1:12" ht="15.75" thickBot="1">
      <c r="A48" s="8"/>
      <c r="B48" s="8"/>
      <c r="C48" s="8" t="s">
        <v>10</v>
      </c>
      <c r="D48" s="31">
        <f t="shared" ref="D48:I48" si="6">SUM(D46:D47)</f>
        <v>13052.48</v>
      </c>
      <c r="E48" s="31">
        <f t="shared" si="6"/>
        <v>48.95</v>
      </c>
      <c r="F48" s="30">
        <f t="shared" si="6"/>
        <v>0</v>
      </c>
      <c r="G48" s="30">
        <f t="shared" si="6"/>
        <v>0</v>
      </c>
      <c r="H48" s="30">
        <f t="shared" si="6"/>
        <v>0</v>
      </c>
      <c r="I48" s="30">
        <f t="shared" si="6"/>
        <v>0</v>
      </c>
      <c r="J48" s="31">
        <f>SUM(D48:I48)</f>
        <v>13101.43</v>
      </c>
      <c r="K48" s="8"/>
      <c r="L48" s="8"/>
    </row>
    <row r="49" spans="1:12" ht="15.75" thickTop="1">
      <c r="A49" s="8"/>
      <c r="B49" s="8"/>
      <c r="C49" s="8"/>
      <c r="D49" s="20"/>
      <c r="E49" s="20"/>
      <c r="F49" s="15"/>
      <c r="G49" s="8"/>
      <c r="H49" s="8"/>
      <c r="I49" s="8"/>
      <c r="J49" s="20"/>
      <c r="K49" s="8"/>
      <c r="L49" s="8"/>
    </row>
    <row r="50" spans="1:12">
      <c r="A50" s="8"/>
      <c r="B50" s="8"/>
      <c r="C50" s="8"/>
      <c r="D50" s="20"/>
      <c r="E50" s="20"/>
      <c r="F50" s="15"/>
      <c r="G50" s="8"/>
      <c r="H50" s="8"/>
      <c r="I50" s="8"/>
      <c r="J50" s="20"/>
      <c r="K50" s="8"/>
      <c r="L50" s="8"/>
    </row>
    <row r="51" spans="1:12">
      <c r="A51" s="8"/>
      <c r="B51" s="8"/>
      <c r="C51" s="8"/>
      <c r="D51" s="20"/>
      <c r="E51" s="20"/>
      <c r="F51" s="15"/>
      <c r="G51" s="15"/>
      <c r="H51" s="15"/>
      <c r="I51" s="15"/>
      <c r="J51" s="20"/>
      <c r="K51" s="8"/>
      <c r="L51" s="8"/>
    </row>
    <row r="52" spans="1:12">
      <c r="A52" s="8"/>
      <c r="B52" s="8"/>
      <c r="C52" s="8"/>
      <c r="D52" s="20"/>
      <c r="E52" s="20"/>
      <c r="F52" s="15"/>
      <c r="G52" s="15"/>
      <c r="H52" s="15"/>
      <c r="I52" s="15"/>
      <c r="J52" s="20"/>
      <c r="K52" s="8"/>
      <c r="L52" s="8"/>
    </row>
    <row r="53" spans="1:12">
      <c r="A53" s="8">
        <v>28</v>
      </c>
      <c r="B53" s="8" t="s">
        <v>21</v>
      </c>
      <c r="C53" s="8" t="s">
        <v>12</v>
      </c>
      <c r="D53" s="25">
        <f>12447.59+3336.02</f>
        <v>15783.61</v>
      </c>
      <c r="E53" s="25">
        <v>620.91999999999996</v>
      </c>
      <c r="F53" s="24">
        <v>5.97</v>
      </c>
      <c r="G53" s="24">
        <v>0</v>
      </c>
      <c r="H53" s="24">
        <v>0</v>
      </c>
      <c r="I53" s="24">
        <v>0</v>
      </c>
      <c r="J53" s="25">
        <f>SUM(D53:I53)</f>
        <v>16410.5</v>
      </c>
      <c r="K53" s="8"/>
      <c r="L53" s="8"/>
    </row>
    <row r="54" spans="1:12" ht="15.75" hidden="1" thickBot="1">
      <c r="A54" s="8"/>
      <c r="B54" s="8"/>
      <c r="C54" s="8" t="s">
        <v>13</v>
      </c>
      <c r="D54" s="29"/>
      <c r="E54" s="29"/>
      <c r="F54" s="28"/>
      <c r="G54" s="28"/>
      <c r="H54" s="28"/>
      <c r="I54" s="28"/>
      <c r="J54" s="29">
        <f>SUM(D54:I54)</f>
        <v>0</v>
      </c>
      <c r="K54" s="8"/>
      <c r="L54" s="8"/>
    </row>
    <row r="55" spans="1:12">
      <c r="A55" s="8"/>
      <c r="B55" s="8"/>
      <c r="C55" s="8"/>
      <c r="D55" s="20"/>
      <c r="E55" s="20"/>
      <c r="F55" s="15"/>
      <c r="G55" s="15"/>
      <c r="H55" s="15"/>
      <c r="I55" s="15"/>
      <c r="J55" s="20"/>
      <c r="K55" s="8"/>
      <c r="L55" s="8"/>
    </row>
    <row r="56" spans="1:12" ht="15.75" thickBot="1">
      <c r="A56" s="8"/>
      <c r="B56" s="8"/>
      <c r="C56" s="8" t="s">
        <v>10</v>
      </c>
      <c r="D56" s="31">
        <f t="shared" ref="D56:I56" si="7">SUM(D53:D54)</f>
        <v>15783.61</v>
      </c>
      <c r="E56" s="31">
        <f t="shared" si="7"/>
        <v>620.91999999999996</v>
      </c>
      <c r="F56" s="30">
        <f t="shared" si="7"/>
        <v>5.97</v>
      </c>
      <c r="G56" s="30">
        <f t="shared" si="7"/>
        <v>0</v>
      </c>
      <c r="H56" s="30">
        <f t="shared" si="7"/>
        <v>0</v>
      </c>
      <c r="I56" s="30">
        <f t="shared" si="7"/>
        <v>0</v>
      </c>
      <c r="J56" s="31">
        <f>SUM(D56:I56)</f>
        <v>16410.5</v>
      </c>
      <c r="K56" s="8"/>
      <c r="L56" s="8"/>
    </row>
    <row r="57" spans="1:12" ht="15.75" thickTop="1">
      <c r="A57" s="8"/>
      <c r="B57" s="8"/>
      <c r="C57" s="8"/>
      <c r="D57" s="20"/>
      <c r="E57" s="20"/>
      <c r="F57" s="15"/>
      <c r="G57" s="15"/>
      <c r="H57" s="15"/>
      <c r="I57" s="15"/>
      <c r="J57" s="20"/>
      <c r="K57" s="8"/>
      <c r="L57" s="8"/>
    </row>
    <row r="58" spans="1:12">
      <c r="A58" s="8"/>
      <c r="B58" s="8"/>
      <c r="C58" s="8"/>
      <c r="D58" s="20"/>
      <c r="E58" s="20"/>
      <c r="F58" s="15"/>
      <c r="G58" s="15"/>
      <c r="H58" s="15"/>
      <c r="I58" s="15"/>
      <c r="J58" s="20"/>
      <c r="K58" s="8"/>
      <c r="L58" s="8"/>
    </row>
    <row r="59" spans="1:12">
      <c r="A59" s="8">
        <v>29</v>
      </c>
      <c r="B59" s="8" t="s">
        <v>22</v>
      </c>
      <c r="C59" s="8" t="s">
        <v>12</v>
      </c>
      <c r="D59" s="20">
        <f>13102.12+4657.31</f>
        <v>17759.43</v>
      </c>
      <c r="E59" s="35">
        <v>0</v>
      </c>
      <c r="F59" s="15">
        <v>0</v>
      </c>
      <c r="G59" s="15">
        <v>0</v>
      </c>
      <c r="H59" s="15">
        <v>0</v>
      </c>
      <c r="I59" s="15">
        <v>0</v>
      </c>
      <c r="J59" s="20">
        <f>SUM(D59:I59)</f>
        <v>17759.43</v>
      </c>
      <c r="K59" s="8"/>
      <c r="L59" s="8"/>
    </row>
    <row r="60" spans="1:12">
      <c r="A60" s="8"/>
      <c r="B60" s="8"/>
      <c r="C60" s="8" t="s">
        <v>35</v>
      </c>
      <c r="D60" s="20"/>
      <c r="E60" s="35">
        <v>0</v>
      </c>
      <c r="F60" s="15">
        <v>0</v>
      </c>
      <c r="G60" s="15">
        <v>0</v>
      </c>
      <c r="H60" s="15">
        <v>0</v>
      </c>
      <c r="I60" s="15">
        <v>0</v>
      </c>
      <c r="J60" s="20">
        <f>SUM(D60:I60)</f>
        <v>0</v>
      </c>
      <c r="K60" s="8"/>
      <c r="L60" s="8"/>
    </row>
    <row r="61" spans="1:12">
      <c r="A61" s="8"/>
      <c r="B61" s="8"/>
      <c r="C61" s="8" t="s">
        <v>13</v>
      </c>
      <c r="D61" s="20">
        <f>349.39+124.19</f>
        <v>473.58</v>
      </c>
      <c r="E61" s="35">
        <v>0</v>
      </c>
      <c r="F61" s="15">
        <v>0</v>
      </c>
      <c r="G61" s="15">
        <v>0</v>
      </c>
      <c r="H61" s="15">
        <v>0</v>
      </c>
      <c r="I61" s="15">
        <v>0</v>
      </c>
      <c r="J61" s="20">
        <f>SUM(D61:I61)</f>
        <v>473.58</v>
      </c>
      <c r="K61" s="8"/>
      <c r="L61" s="8"/>
    </row>
    <row r="62" spans="1:12">
      <c r="A62" s="8"/>
      <c r="B62" s="8"/>
      <c r="C62" s="8" t="s">
        <v>78</v>
      </c>
      <c r="D62" s="20">
        <v>0</v>
      </c>
      <c r="E62" s="35">
        <v>0</v>
      </c>
      <c r="F62" s="15">
        <v>0</v>
      </c>
      <c r="G62" s="15">
        <v>0</v>
      </c>
      <c r="H62" s="15">
        <v>0</v>
      </c>
      <c r="I62" s="15">
        <v>0</v>
      </c>
      <c r="J62" s="20">
        <f>SUM(D62:I62)</f>
        <v>0</v>
      </c>
      <c r="K62" s="8"/>
      <c r="L62" s="8"/>
    </row>
    <row r="63" spans="1:12" ht="15.75" thickBot="1">
      <c r="A63" s="8"/>
      <c r="B63" s="8"/>
      <c r="C63" s="38" t="s">
        <v>114</v>
      </c>
      <c r="D63" s="29">
        <f>6420.04-2282.08</f>
        <v>4137.96</v>
      </c>
      <c r="E63" s="34">
        <v>0</v>
      </c>
      <c r="F63" s="28">
        <v>0</v>
      </c>
      <c r="G63" s="28">
        <v>0</v>
      </c>
      <c r="H63" s="28">
        <v>0</v>
      </c>
      <c r="I63" s="28">
        <v>0</v>
      </c>
      <c r="J63" s="29">
        <f>SUM(D63:I63)</f>
        <v>4137.96</v>
      </c>
      <c r="K63" s="8"/>
      <c r="L63" s="8"/>
    </row>
    <row r="64" spans="1:12">
      <c r="A64" s="8"/>
      <c r="B64" s="8"/>
      <c r="C64" s="8"/>
      <c r="D64" s="20"/>
      <c r="E64" s="35"/>
      <c r="F64" s="15"/>
      <c r="G64" s="15"/>
      <c r="H64" s="15"/>
      <c r="I64" s="15"/>
      <c r="J64" s="20"/>
      <c r="K64" s="8"/>
      <c r="L64" s="8"/>
    </row>
    <row r="65" spans="1:12" ht="15.75" thickBot="1">
      <c r="A65" s="8"/>
      <c r="B65" s="8"/>
      <c r="C65" s="8" t="s">
        <v>10</v>
      </c>
      <c r="D65" s="31">
        <f t="shared" ref="D65:I65" si="8">SUM(D59:D63)</f>
        <v>22370.97</v>
      </c>
      <c r="E65" s="44">
        <f t="shared" si="8"/>
        <v>0</v>
      </c>
      <c r="F65" s="30">
        <f t="shared" si="8"/>
        <v>0</v>
      </c>
      <c r="G65" s="30">
        <f t="shared" si="8"/>
        <v>0</v>
      </c>
      <c r="H65" s="30">
        <f t="shared" si="8"/>
        <v>0</v>
      </c>
      <c r="I65" s="30">
        <f t="shared" si="8"/>
        <v>0</v>
      </c>
      <c r="J65" s="31">
        <f>SUM(D65:I65)</f>
        <v>22370.97</v>
      </c>
      <c r="K65" s="8"/>
      <c r="L65" s="8"/>
    </row>
    <row r="66" spans="1:12" ht="15.75" thickTop="1">
      <c r="A66" s="8"/>
      <c r="B66" s="8"/>
      <c r="C66" s="8"/>
      <c r="D66" s="20"/>
      <c r="E66" s="20"/>
      <c r="F66" s="15"/>
      <c r="G66" s="15"/>
      <c r="H66" s="15"/>
      <c r="I66" s="15"/>
      <c r="J66" s="20"/>
      <c r="K66" s="8"/>
      <c r="L66" s="8"/>
    </row>
    <row r="67" spans="1:12">
      <c r="A67" s="8"/>
      <c r="B67" s="8"/>
      <c r="C67" s="8"/>
      <c r="D67" s="20"/>
      <c r="E67" s="20"/>
      <c r="F67" s="15"/>
      <c r="G67" s="15"/>
      <c r="H67" s="15"/>
      <c r="I67" s="15"/>
      <c r="J67" s="20"/>
      <c r="K67" s="8"/>
      <c r="L67" s="8"/>
    </row>
    <row r="68" spans="1:12">
      <c r="A68" s="8">
        <v>30</v>
      </c>
      <c r="B68" s="8" t="s">
        <v>23</v>
      </c>
      <c r="C68" s="8" t="s">
        <v>12</v>
      </c>
      <c r="D68" s="20">
        <f>7695.07+2134.36</f>
        <v>9829.43</v>
      </c>
      <c r="E68" s="20">
        <v>48.06</v>
      </c>
      <c r="F68" s="15">
        <v>0</v>
      </c>
      <c r="G68" s="15">
        <v>0</v>
      </c>
      <c r="H68" s="15">
        <v>0</v>
      </c>
      <c r="I68" s="15">
        <v>0</v>
      </c>
      <c r="J68" s="20">
        <f>SUM(D68:I68)</f>
        <v>9877.49</v>
      </c>
      <c r="K68" s="8"/>
      <c r="L68" s="8"/>
    </row>
    <row r="69" spans="1:12" ht="15.75" thickBot="1">
      <c r="A69" s="8"/>
      <c r="B69" s="8"/>
      <c r="C69" s="38" t="s">
        <v>116</v>
      </c>
      <c r="D69" s="29">
        <f>13680.13+3794.42</f>
        <v>17474.55</v>
      </c>
      <c r="E69" s="29">
        <v>90.29</v>
      </c>
      <c r="F69" s="28">
        <v>0</v>
      </c>
      <c r="G69" s="28">
        <v>0</v>
      </c>
      <c r="H69" s="28">
        <v>0</v>
      </c>
      <c r="I69" s="28">
        <v>0</v>
      </c>
      <c r="J69" s="29">
        <f>SUM(D69:I69)</f>
        <v>17564.84</v>
      </c>
      <c r="K69" s="8"/>
      <c r="L69" s="8"/>
    </row>
    <row r="70" spans="1:12">
      <c r="A70" s="8"/>
      <c r="B70" s="8"/>
      <c r="C70" s="8"/>
      <c r="D70" s="20"/>
      <c r="E70" s="20"/>
      <c r="F70" s="15"/>
      <c r="G70" s="15"/>
      <c r="H70" s="15"/>
      <c r="I70" s="15"/>
      <c r="J70" s="20"/>
      <c r="K70" s="8"/>
      <c r="L70" s="8"/>
    </row>
    <row r="71" spans="1:12" ht="15.75" thickBot="1">
      <c r="A71" s="8"/>
      <c r="B71" s="8"/>
      <c r="C71" s="15" t="s">
        <v>10</v>
      </c>
      <c r="D71" s="31">
        <f t="shared" ref="D71:I71" si="9">SUM(D68:D69)</f>
        <v>27303.98</v>
      </c>
      <c r="E71" s="31">
        <f t="shared" si="9"/>
        <v>138.35000000000002</v>
      </c>
      <c r="F71" s="30">
        <f t="shared" si="9"/>
        <v>0</v>
      </c>
      <c r="G71" s="30">
        <f t="shared" si="9"/>
        <v>0</v>
      </c>
      <c r="H71" s="30">
        <f t="shared" si="9"/>
        <v>0</v>
      </c>
      <c r="I71" s="30">
        <f t="shared" si="9"/>
        <v>0</v>
      </c>
      <c r="J71" s="31">
        <f>SUM(D71:I71)</f>
        <v>27442.329999999998</v>
      </c>
      <c r="K71" s="8"/>
      <c r="L71" s="8"/>
    </row>
    <row r="72" spans="1:12" ht="15.75" thickTop="1">
      <c r="A72" s="8"/>
      <c r="B72" s="8"/>
      <c r="C72" s="8"/>
      <c r="D72" s="20"/>
      <c r="E72" s="20"/>
      <c r="F72" s="15"/>
      <c r="G72" s="15"/>
      <c r="H72" s="15"/>
      <c r="I72" s="15"/>
      <c r="J72" s="20"/>
      <c r="K72" s="8"/>
      <c r="L72" s="8"/>
    </row>
    <row r="73" spans="1:12">
      <c r="A73" s="8"/>
      <c r="B73" s="8"/>
      <c r="C73" s="8"/>
      <c r="D73" s="20"/>
      <c r="E73" s="20"/>
      <c r="F73" s="15"/>
      <c r="G73" s="15"/>
      <c r="H73" s="15"/>
      <c r="I73" s="15"/>
      <c r="J73" s="20"/>
      <c r="K73" s="8"/>
      <c r="L73" s="8"/>
    </row>
    <row r="74" spans="1:12">
      <c r="A74" s="8">
        <v>31</v>
      </c>
      <c r="B74" s="8" t="s">
        <v>24</v>
      </c>
      <c r="C74" s="8" t="s">
        <v>12</v>
      </c>
      <c r="D74" s="20">
        <f>3382.82+900.65</f>
        <v>4283.47</v>
      </c>
      <c r="E74" s="20">
        <v>21.62</v>
      </c>
      <c r="F74" s="15">
        <v>0</v>
      </c>
      <c r="G74" s="15">
        <v>0</v>
      </c>
      <c r="H74" s="15">
        <v>0</v>
      </c>
      <c r="I74" s="15">
        <v>0</v>
      </c>
      <c r="J74" s="20">
        <f>SUM(D74:I74)</f>
        <v>4305.09</v>
      </c>
      <c r="K74" s="8"/>
      <c r="L74" s="8"/>
    </row>
    <row r="75" spans="1:12" ht="15.75" thickBot="1">
      <c r="A75" s="8"/>
      <c r="B75" s="8"/>
      <c r="C75" s="8" t="s">
        <v>13</v>
      </c>
      <c r="D75" s="29">
        <f>85.32+22.72</f>
        <v>108.03999999999999</v>
      </c>
      <c r="E75" s="29">
        <v>0.53</v>
      </c>
      <c r="F75" s="28">
        <v>0</v>
      </c>
      <c r="G75" s="28">
        <v>0</v>
      </c>
      <c r="H75" s="28">
        <v>0</v>
      </c>
      <c r="I75" s="28">
        <v>0</v>
      </c>
      <c r="J75" s="29">
        <f>SUM(D75:I75)</f>
        <v>108.57</v>
      </c>
      <c r="K75" s="8"/>
      <c r="L75" s="8"/>
    </row>
    <row r="76" spans="1:12">
      <c r="A76" s="8"/>
      <c r="B76" s="8"/>
      <c r="C76" s="8"/>
      <c r="D76" s="20"/>
      <c r="E76" s="20"/>
      <c r="F76" s="15"/>
      <c r="G76" s="15"/>
      <c r="H76" s="15"/>
      <c r="I76" s="15"/>
      <c r="J76" s="20"/>
      <c r="K76" s="8"/>
      <c r="L76" s="8"/>
    </row>
    <row r="77" spans="1:12" ht="15.75" thickBot="1">
      <c r="A77" s="8"/>
      <c r="B77" s="8"/>
      <c r="C77" s="8" t="s">
        <v>10</v>
      </c>
      <c r="D77" s="31">
        <f t="shared" ref="D77:I77" si="10">SUM(D74:D75)</f>
        <v>4391.51</v>
      </c>
      <c r="E77" s="31">
        <f t="shared" si="10"/>
        <v>22.150000000000002</v>
      </c>
      <c r="F77" s="30">
        <f t="shared" si="10"/>
        <v>0</v>
      </c>
      <c r="G77" s="30">
        <f t="shared" si="10"/>
        <v>0</v>
      </c>
      <c r="H77" s="30">
        <f t="shared" si="10"/>
        <v>0</v>
      </c>
      <c r="I77" s="30">
        <f t="shared" si="10"/>
        <v>0</v>
      </c>
      <c r="J77" s="31">
        <f>SUM(D77:I77)</f>
        <v>4413.66</v>
      </c>
      <c r="K77" s="8"/>
      <c r="L77" s="8"/>
    </row>
    <row r="78" spans="1:12" ht="15.75" thickTop="1">
      <c r="A78" s="8"/>
      <c r="B78" s="8"/>
      <c r="C78" s="8"/>
      <c r="D78" s="20"/>
      <c r="E78" s="20"/>
      <c r="F78" s="15"/>
      <c r="G78" s="15"/>
      <c r="H78" s="15"/>
      <c r="I78" s="15"/>
      <c r="J78" s="20"/>
      <c r="K78" s="8"/>
      <c r="L78" s="8"/>
    </row>
    <row r="79" spans="1:12">
      <c r="A79" s="8"/>
      <c r="B79" s="8"/>
      <c r="C79" s="8"/>
      <c r="D79" s="20"/>
      <c r="E79" s="20"/>
      <c r="F79" s="15"/>
      <c r="G79" s="15"/>
      <c r="H79" s="15"/>
      <c r="I79" s="15"/>
      <c r="J79" s="20"/>
      <c r="K79" s="8"/>
      <c r="L79" s="8"/>
    </row>
    <row r="80" spans="1:12">
      <c r="A80" s="8">
        <v>32</v>
      </c>
      <c r="B80" s="8" t="s">
        <v>25</v>
      </c>
      <c r="C80" s="8" t="s">
        <v>12</v>
      </c>
      <c r="D80" s="20">
        <f>13008.51+3868.96</f>
        <v>16877.47</v>
      </c>
      <c r="E80" s="20">
        <v>38.81</v>
      </c>
      <c r="F80" s="15">
        <v>0</v>
      </c>
      <c r="G80" s="15">
        <v>0</v>
      </c>
      <c r="H80" s="15">
        <v>0</v>
      </c>
      <c r="I80" s="15">
        <v>0</v>
      </c>
      <c r="J80" s="20">
        <f>SUM(D80:I80)</f>
        <v>16916.280000000002</v>
      </c>
      <c r="K80" s="8"/>
      <c r="L80" s="8"/>
    </row>
    <row r="81" spans="1:12">
      <c r="A81" s="8"/>
      <c r="B81" s="8"/>
      <c r="C81" s="8" t="s">
        <v>13</v>
      </c>
      <c r="D81" s="25">
        <f>335.8+99.87</f>
        <v>435.67</v>
      </c>
      <c r="E81" s="25">
        <v>0.96</v>
      </c>
      <c r="F81" s="24">
        <v>0</v>
      </c>
      <c r="G81" s="24">
        <v>0</v>
      </c>
      <c r="H81" s="24">
        <v>0</v>
      </c>
      <c r="I81" s="24">
        <v>0</v>
      </c>
      <c r="J81" s="25">
        <f>SUM(D81:I81)</f>
        <v>436.63</v>
      </c>
      <c r="K81" s="8"/>
      <c r="L81" s="8"/>
    </row>
    <row r="82" spans="1:12" hidden="1">
      <c r="A82" s="8"/>
      <c r="B82" s="8"/>
      <c r="C82" s="8" t="s">
        <v>73</v>
      </c>
      <c r="D82" s="20"/>
      <c r="E82" s="20"/>
      <c r="F82" s="26"/>
      <c r="G82" s="8"/>
      <c r="H82" s="26"/>
      <c r="I82" s="8"/>
      <c r="J82" s="20">
        <f>SUM(D82:I82)</f>
        <v>0</v>
      </c>
      <c r="K82" s="8"/>
      <c r="L82" s="8"/>
    </row>
    <row r="83" spans="1:12" ht="15.75" hidden="1" thickBot="1">
      <c r="A83" s="8"/>
      <c r="B83" s="8"/>
      <c r="C83" s="8" t="s">
        <v>78</v>
      </c>
      <c r="D83" s="29"/>
      <c r="E83" s="29"/>
      <c r="F83" s="33"/>
      <c r="G83" s="27"/>
      <c r="H83" s="27"/>
      <c r="I83" s="27"/>
      <c r="J83" s="29">
        <f>SUM(D83:I83)</f>
        <v>0</v>
      </c>
      <c r="K83" s="8"/>
      <c r="L83" s="8"/>
    </row>
    <row r="84" spans="1:12">
      <c r="A84" s="8"/>
      <c r="B84" s="8"/>
      <c r="C84" s="8"/>
      <c r="D84" s="20"/>
      <c r="E84" s="20"/>
      <c r="F84" s="15"/>
      <c r="G84" s="8"/>
      <c r="H84" s="8"/>
      <c r="I84" s="8"/>
      <c r="J84" s="20"/>
      <c r="K84" s="8"/>
      <c r="L84" s="8"/>
    </row>
    <row r="85" spans="1:12" ht="15.75" thickBot="1">
      <c r="A85" s="8"/>
      <c r="B85" s="8"/>
      <c r="C85" s="8" t="s">
        <v>10</v>
      </c>
      <c r="D85" s="31">
        <f t="shared" ref="D85:I85" si="11">SUM(D80:D83)</f>
        <v>17313.14</v>
      </c>
      <c r="E85" s="31">
        <f t="shared" si="11"/>
        <v>39.770000000000003</v>
      </c>
      <c r="F85" s="30">
        <f t="shared" si="11"/>
        <v>0</v>
      </c>
      <c r="G85" s="30">
        <f t="shared" si="11"/>
        <v>0</v>
      </c>
      <c r="H85" s="30">
        <f t="shared" si="11"/>
        <v>0</v>
      </c>
      <c r="I85" s="30">
        <f t="shared" si="11"/>
        <v>0</v>
      </c>
      <c r="J85" s="31">
        <f>SUM(D85:I85)</f>
        <v>17352.91</v>
      </c>
      <c r="K85" s="8"/>
      <c r="L85" s="8"/>
    </row>
    <row r="86" spans="1:12" ht="15.75" thickTop="1">
      <c r="A86" s="8"/>
      <c r="B86" s="8"/>
      <c r="C86" s="8"/>
      <c r="D86" s="20"/>
      <c r="E86" s="20"/>
      <c r="F86" s="15"/>
      <c r="G86" s="15"/>
      <c r="H86" s="15"/>
      <c r="I86" s="15"/>
      <c r="J86" s="20"/>
      <c r="K86" s="8"/>
      <c r="L86" s="8"/>
    </row>
    <row r="87" spans="1:12">
      <c r="A87" s="8"/>
      <c r="B87" s="8"/>
      <c r="C87" s="8"/>
      <c r="D87" s="20"/>
      <c r="E87" s="20"/>
      <c r="F87" s="15"/>
      <c r="G87" s="15"/>
      <c r="H87" s="15"/>
      <c r="I87" s="15"/>
      <c r="J87" s="20"/>
      <c r="K87" s="8"/>
      <c r="L87" s="8"/>
    </row>
    <row r="88" spans="1:12">
      <c r="A88" s="8">
        <v>33</v>
      </c>
      <c r="B88" s="8" t="s">
        <v>26</v>
      </c>
      <c r="C88" s="8" t="s">
        <v>12</v>
      </c>
      <c r="D88" s="20">
        <f>18498.61+3931.64</f>
        <v>22430.25</v>
      </c>
      <c r="E88" s="20">
        <v>194.81</v>
      </c>
      <c r="F88" s="15">
        <v>21.11</v>
      </c>
      <c r="G88" s="15">
        <v>0</v>
      </c>
      <c r="H88" s="15">
        <v>0</v>
      </c>
      <c r="I88" s="15">
        <v>0</v>
      </c>
      <c r="J88" s="20">
        <f>SUM(D88:I88)</f>
        <v>22646.170000000002</v>
      </c>
      <c r="K88" s="8"/>
      <c r="L88" s="8"/>
    </row>
    <row r="89" spans="1:12" ht="15.75" thickBot="1">
      <c r="A89" s="8"/>
      <c r="B89" s="8"/>
      <c r="C89" s="8" t="s">
        <v>13</v>
      </c>
      <c r="D89" s="29">
        <f>296.13+62.94</f>
        <v>359.07</v>
      </c>
      <c r="E89" s="29">
        <v>3.09</v>
      </c>
      <c r="F89" s="28">
        <v>0.34</v>
      </c>
      <c r="G89" s="28">
        <v>0</v>
      </c>
      <c r="H89" s="28">
        <v>0</v>
      </c>
      <c r="I89" s="28">
        <v>0</v>
      </c>
      <c r="J89" s="29">
        <f>SUM(D89:I89)</f>
        <v>362.49999999999994</v>
      </c>
      <c r="K89" s="8"/>
      <c r="L89" s="8"/>
    </row>
    <row r="90" spans="1:12">
      <c r="A90" s="8"/>
      <c r="B90" s="8"/>
      <c r="C90" s="8"/>
      <c r="D90" s="20"/>
      <c r="E90" s="20"/>
      <c r="F90" s="15"/>
      <c r="G90" s="15"/>
      <c r="H90" s="15"/>
      <c r="I90" s="15"/>
      <c r="J90" s="20"/>
      <c r="K90" s="8"/>
      <c r="L90" s="8"/>
    </row>
    <row r="91" spans="1:12" ht="15.75" thickBot="1">
      <c r="A91" s="8"/>
      <c r="B91" s="8"/>
      <c r="C91" s="8" t="s">
        <v>10</v>
      </c>
      <c r="D91" s="31">
        <f t="shared" ref="D91:I91" si="12">SUM(D88:D89)</f>
        <v>22789.32</v>
      </c>
      <c r="E91" s="31">
        <f t="shared" si="12"/>
        <v>197.9</v>
      </c>
      <c r="F91" s="30">
        <f t="shared" si="12"/>
        <v>21.45</v>
      </c>
      <c r="G91" s="30">
        <f t="shared" si="12"/>
        <v>0</v>
      </c>
      <c r="H91" s="30">
        <f t="shared" si="12"/>
        <v>0</v>
      </c>
      <c r="I91" s="30">
        <f t="shared" si="12"/>
        <v>0</v>
      </c>
      <c r="J91" s="31">
        <f>SUM(D91:I91)</f>
        <v>23008.670000000002</v>
      </c>
      <c r="K91" s="8"/>
      <c r="L91" s="8"/>
    </row>
    <row r="92" spans="1:12" ht="15.75" thickTop="1">
      <c r="A92" s="8"/>
      <c r="B92" s="8"/>
      <c r="C92" s="8"/>
      <c r="D92" s="20"/>
      <c r="E92" s="20"/>
      <c r="F92" s="15"/>
      <c r="G92" s="15"/>
      <c r="H92" s="15"/>
      <c r="I92" s="15"/>
      <c r="J92" s="20"/>
      <c r="K92" s="8"/>
      <c r="L92" s="8"/>
    </row>
    <row r="93" spans="1:12">
      <c r="A93" s="8"/>
      <c r="B93" s="8"/>
      <c r="C93" s="8"/>
      <c r="D93" s="20"/>
      <c r="E93" s="20"/>
      <c r="F93" s="15"/>
      <c r="G93" s="15"/>
      <c r="H93" s="15"/>
      <c r="I93" s="15"/>
      <c r="J93" s="20"/>
      <c r="K93" s="8"/>
      <c r="L93" s="8"/>
    </row>
    <row r="94" spans="1:12">
      <c r="A94" s="8">
        <v>34</v>
      </c>
      <c r="B94" s="8" t="s">
        <v>27</v>
      </c>
      <c r="C94" s="8" t="s">
        <v>12</v>
      </c>
      <c r="D94" s="20">
        <f>15071.89+3835.29</f>
        <v>18907.18</v>
      </c>
      <c r="E94" s="20">
        <v>305.88</v>
      </c>
      <c r="F94" s="15">
        <v>194.52</v>
      </c>
      <c r="G94" s="15">
        <v>0</v>
      </c>
      <c r="H94" s="15">
        <v>0</v>
      </c>
      <c r="I94" s="15">
        <v>0</v>
      </c>
      <c r="J94" s="20">
        <f>SUM(D94:I94)</f>
        <v>19407.580000000002</v>
      </c>
      <c r="K94" s="8"/>
      <c r="L94" s="8"/>
    </row>
    <row r="95" spans="1:12">
      <c r="A95" s="8"/>
      <c r="B95" s="8"/>
      <c r="C95" s="8" t="s">
        <v>35</v>
      </c>
      <c r="D95" s="20">
        <v>0</v>
      </c>
      <c r="E95" s="20">
        <v>8.5</v>
      </c>
      <c r="F95" s="15">
        <v>5.4</v>
      </c>
      <c r="G95" s="15">
        <v>0</v>
      </c>
      <c r="H95" s="15">
        <v>0</v>
      </c>
      <c r="I95" s="15">
        <v>0</v>
      </c>
      <c r="J95" s="20">
        <f>SUM(D95:I95)</f>
        <v>13.9</v>
      </c>
      <c r="K95" s="8"/>
      <c r="L95" s="8"/>
    </row>
    <row r="96" spans="1:12">
      <c r="A96" s="8"/>
      <c r="B96" s="8"/>
      <c r="C96" s="8" t="s">
        <v>13</v>
      </c>
      <c r="D96" s="20">
        <f>381.99+97.2</f>
        <v>479.19</v>
      </c>
      <c r="E96" s="20">
        <v>3.23</v>
      </c>
      <c r="F96" s="15">
        <v>2.54</v>
      </c>
      <c r="G96" s="15">
        <v>0</v>
      </c>
      <c r="H96" s="15">
        <v>0</v>
      </c>
      <c r="I96" s="15">
        <v>0</v>
      </c>
      <c r="J96" s="20">
        <f>SUM(D96:I96)</f>
        <v>484.96000000000004</v>
      </c>
      <c r="K96" s="8"/>
      <c r="L96" s="8"/>
    </row>
    <row r="97" spans="1:12" ht="15.75" thickBot="1">
      <c r="A97" s="8"/>
      <c r="B97" s="8"/>
      <c r="C97" s="8" t="s">
        <v>78</v>
      </c>
      <c r="D97" s="29">
        <v>0</v>
      </c>
      <c r="E97" s="29">
        <v>16.14</v>
      </c>
      <c r="F97" s="28">
        <v>11.67</v>
      </c>
      <c r="G97" s="28">
        <v>0</v>
      </c>
      <c r="H97" s="28">
        <v>0</v>
      </c>
      <c r="I97" s="28">
        <v>0</v>
      </c>
      <c r="J97" s="29">
        <f>SUM(D97:I97)</f>
        <v>27.810000000000002</v>
      </c>
      <c r="K97" s="8"/>
      <c r="L97" s="8"/>
    </row>
    <row r="98" spans="1:12">
      <c r="A98" s="8"/>
      <c r="B98" s="8"/>
      <c r="C98" s="8"/>
      <c r="D98" s="20"/>
      <c r="E98" s="20"/>
      <c r="F98" s="15"/>
      <c r="G98" s="15"/>
      <c r="H98" s="15"/>
      <c r="I98" s="15"/>
      <c r="J98" s="20"/>
      <c r="K98" s="8"/>
      <c r="L98" s="8"/>
    </row>
    <row r="99" spans="1:12" ht="15.75" thickBot="1">
      <c r="A99" s="8"/>
      <c r="B99" s="8"/>
      <c r="C99" s="8" t="s">
        <v>10</v>
      </c>
      <c r="D99" s="31">
        <f t="shared" ref="D99:I99" si="13">SUM(D94:D98)</f>
        <v>19386.37</v>
      </c>
      <c r="E99" s="31">
        <f t="shared" si="13"/>
        <v>333.75</v>
      </c>
      <c r="F99" s="30">
        <f t="shared" si="13"/>
        <v>214.13</v>
      </c>
      <c r="G99" s="30">
        <f t="shared" si="13"/>
        <v>0</v>
      </c>
      <c r="H99" s="30">
        <f t="shared" si="13"/>
        <v>0</v>
      </c>
      <c r="I99" s="30">
        <f t="shared" si="13"/>
        <v>0</v>
      </c>
      <c r="J99" s="31">
        <f>SUM(D99:I99)</f>
        <v>19934.25</v>
      </c>
      <c r="K99" s="8"/>
      <c r="L99" s="8"/>
    </row>
    <row r="100" spans="1:12" ht="15.75" thickTop="1">
      <c r="A100" s="8"/>
      <c r="B100" s="8"/>
      <c r="C100" s="8"/>
      <c r="D100" s="20"/>
      <c r="E100" s="20"/>
      <c r="F100" s="15"/>
      <c r="G100" s="15"/>
      <c r="H100" s="15"/>
      <c r="I100" s="15"/>
      <c r="J100" s="20"/>
      <c r="K100" s="8"/>
      <c r="L100" s="8"/>
    </row>
    <row r="101" spans="1:12">
      <c r="A101" s="8"/>
      <c r="B101" s="8"/>
      <c r="C101" s="8"/>
      <c r="D101" s="20"/>
      <c r="E101" s="20"/>
      <c r="F101" s="15"/>
      <c r="G101" s="15"/>
      <c r="H101" s="15"/>
      <c r="I101" s="15"/>
      <c r="J101" s="20"/>
      <c r="K101" s="8"/>
      <c r="L101" s="8"/>
    </row>
    <row r="102" spans="1:12">
      <c r="A102" s="8">
        <v>35</v>
      </c>
      <c r="B102" s="8" t="s">
        <v>28</v>
      </c>
      <c r="C102" s="8" t="s">
        <v>12</v>
      </c>
      <c r="D102" s="20">
        <f>9736.18+2121.03</f>
        <v>11857.210000000001</v>
      </c>
      <c r="E102" s="20">
        <v>49.76</v>
      </c>
      <c r="F102" s="15">
        <v>0</v>
      </c>
      <c r="G102" s="15">
        <v>0</v>
      </c>
      <c r="H102" s="15">
        <v>0</v>
      </c>
      <c r="I102" s="15">
        <v>0</v>
      </c>
      <c r="J102" s="20">
        <f>SUM(D102:I102)</f>
        <v>11906.970000000001</v>
      </c>
      <c r="K102" s="8"/>
      <c r="L102" s="8"/>
    </row>
    <row r="103" spans="1:12">
      <c r="A103" s="8"/>
      <c r="B103" s="8"/>
      <c r="C103" s="38" t="s">
        <v>116</v>
      </c>
      <c r="D103" s="46">
        <f>5636.17+1227.84</f>
        <v>6864.01</v>
      </c>
      <c r="E103" s="46">
        <v>30.9</v>
      </c>
      <c r="F103" s="47">
        <v>0</v>
      </c>
      <c r="G103" s="47"/>
      <c r="H103" s="47"/>
      <c r="I103" s="47"/>
      <c r="J103" s="46">
        <f>SUM(D103:I103)</f>
        <v>6894.91</v>
      </c>
      <c r="K103" s="8"/>
      <c r="L103" s="8"/>
    </row>
    <row r="104" spans="1:12">
      <c r="A104" s="8"/>
      <c r="B104" s="8"/>
      <c r="C104" s="8"/>
      <c r="D104" s="20"/>
      <c r="E104" s="20"/>
      <c r="F104" s="15"/>
      <c r="G104" s="15"/>
      <c r="H104" s="15"/>
      <c r="I104" s="15"/>
      <c r="J104" s="20"/>
      <c r="K104" s="8"/>
      <c r="L104" s="8"/>
    </row>
    <row r="105" spans="1:12" ht="15.75" thickBot="1">
      <c r="A105" s="8"/>
      <c r="B105" s="8"/>
      <c r="C105" s="8" t="s">
        <v>10</v>
      </c>
      <c r="D105" s="31">
        <f t="shared" ref="D105:I105" si="14">SUM(D102:D104)</f>
        <v>18721.22</v>
      </c>
      <c r="E105" s="31">
        <f t="shared" si="14"/>
        <v>80.66</v>
      </c>
      <c r="F105" s="30">
        <f t="shared" si="14"/>
        <v>0</v>
      </c>
      <c r="G105" s="30">
        <f t="shared" si="14"/>
        <v>0</v>
      </c>
      <c r="H105" s="30">
        <f t="shared" si="14"/>
        <v>0</v>
      </c>
      <c r="I105" s="30">
        <f t="shared" si="14"/>
        <v>0</v>
      </c>
      <c r="J105" s="31">
        <f>SUM(D105:I105)</f>
        <v>18801.88</v>
      </c>
      <c r="K105" s="8"/>
      <c r="L105" s="8"/>
    </row>
    <row r="106" spans="1:12" ht="15.75" thickTop="1">
      <c r="A106" s="8"/>
      <c r="B106" s="8"/>
      <c r="C106" s="8"/>
      <c r="D106" s="20"/>
      <c r="E106" s="20"/>
      <c r="F106" s="15"/>
      <c r="G106" s="15"/>
      <c r="H106" s="15"/>
      <c r="I106" s="15"/>
      <c r="J106" s="20"/>
      <c r="K106" s="8"/>
      <c r="L106" s="8"/>
    </row>
    <row r="107" spans="1:12">
      <c r="A107" s="8"/>
      <c r="B107" s="8"/>
      <c r="C107" s="8"/>
      <c r="D107" s="20"/>
      <c r="E107" s="20"/>
      <c r="F107" s="15"/>
      <c r="G107" s="15"/>
      <c r="H107" s="15"/>
      <c r="I107" s="15"/>
      <c r="J107" s="20"/>
      <c r="K107" s="8"/>
      <c r="L107" s="8"/>
    </row>
    <row r="108" spans="1:12">
      <c r="A108" s="8">
        <v>36</v>
      </c>
      <c r="B108" s="8" t="s">
        <v>29</v>
      </c>
      <c r="C108" s="8" t="s">
        <v>12</v>
      </c>
      <c r="D108" s="20">
        <f>17206.76+5088.7</f>
        <v>22295.46</v>
      </c>
      <c r="E108" s="20">
        <v>190.58</v>
      </c>
      <c r="F108" s="15">
        <v>126.25</v>
      </c>
      <c r="G108" s="15">
        <v>0</v>
      </c>
      <c r="H108" s="15">
        <v>0</v>
      </c>
      <c r="I108" s="15">
        <v>0</v>
      </c>
      <c r="J108" s="20">
        <f>SUM(D108:I108)</f>
        <v>22612.29</v>
      </c>
      <c r="K108" s="8"/>
      <c r="L108" s="8"/>
    </row>
    <row r="109" spans="1:12">
      <c r="A109" s="8"/>
      <c r="B109" s="8"/>
      <c r="C109" s="38" t="s">
        <v>13</v>
      </c>
      <c r="D109" s="20">
        <f>224.64+66.44</f>
        <v>291.08</v>
      </c>
      <c r="E109" s="20">
        <v>2.2999999999999998</v>
      </c>
      <c r="F109" s="15">
        <v>1.61</v>
      </c>
      <c r="G109" s="15">
        <v>0</v>
      </c>
      <c r="H109" s="15">
        <v>0</v>
      </c>
      <c r="I109" s="15">
        <v>0</v>
      </c>
      <c r="J109" s="20">
        <f>SUM(D109:I109)</f>
        <v>294.99</v>
      </c>
      <c r="K109" s="8"/>
      <c r="L109" s="8"/>
    </row>
    <row r="110" spans="1:12" ht="15.75" thickBot="1">
      <c r="A110" s="8"/>
      <c r="B110" s="8"/>
      <c r="C110" s="38" t="s">
        <v>109</v>
      </c>
      <c r="D110" s="29">
        <v>0</v>
      </c>
      <c r="E110" s="29">
        <v>16.27</v>
      </c>
      <c r="F110" s="28">
        <v>10.52</v>
      </c>
      <c r="G110" s="28">
        <v>0</v>
      </c>
      <c r="H110" s="28">
        <v>0</v>
      </c>
      <c r="I110" s="28">
        <v>0</v>
      </c>
      <c r="J110" s="29">
        <f>SUM(D110:I110)</f>
        <v>26.79</v>
      </c>
      <c r="K110" s="8"/>
      <c r="L110" s="8"/>
    </row>
    <row r="111" spans="1:12">
      <c r="A111" s="8"/>
      <c r="B111" s="8"/>
      <c r="C111" s="8"/>
      <c r="D111" s="20"/>
      <c r="E111" s="20"/>
      <c r="F111" s="15"/>
      <c r="G111" s="15"/>
      <c r="H111" s="15"/>
      <c r="I111" s="15"/>
      <c r="J111" s="20"/>
      <c r="K111" s="8"/>
      <c r="L111" s="8"/>
    </row>
    <row r="112" spans="1:12" ht="15.75" thickBot="1">
      <c r="A112" s="8"/>
      <c r="B112" s="8"/>
      <c r="C112" s="8" t="s">
        <v>10</v>
      </c>
      <c r="D112" s="31">
        <f t="shared" ref="D112:I112" si="15">SUM(D108:D110)</f>
        <v>22586.54</v>
      </c>
      <c r="E112" s="31">
        <f t="shared" si="15"/>
        <v>209.15000000000003</v>
      </c>
      <c r="F112" s="30">
        <f t="shared" si="15"/>
        <v>138.38</v>
      </c>
      <c r="G112" s="30">
        <f t="shared" si="15"/>
        <v>0</v>
      </c>
      <c r="H112" s="30">
        <f t="shared" si="15"/>
        <v>0</v>
      </c>
      <c r="I112" s="30">
        <f t="shared" si="15"/>
        <v>0</v>
      </c>
      <c r="J112" s="31">
        <f>SUM(D112:I112)</f>
        <v>22934.070000000003</v>
      </c>
      <c r="K112" s="8"/>
      <c r="L112" s="8"/>
    </row>
    <row r="113" spans="1:12" ht="15.75" thickTop="1">
      <c r="A113" s="8"/>
      <c r="B113" s="8"/>
      <c r="C113" s="8"/>
      <c r="D113" s="20"/>
      <c r="E113" s="20"/>
      <c r="F113" s="15"/>
      <c r="G113" s="15"/>
      <c r="H113" s="15"/>
      <c r="I113" s="15"/>
      <c r="J113" s="20"/>
      <c r="K113" s="8"/>
      <c r="L113" s="8"/>
    </row>
    <row r="114" spans="1:12">
      <c r="A114" s="8"/>
      <c r="B114" s="8"/>
      <c r="C114" s="8"/>
      <c r="D114" s="20"/>
      <c r="E114" s="20"/>
      <c r="F114" s="15"/>
      <c r="G114" s="15"/>
      <c r="H114" s="15"/>
      <c r="I114" s="15"/>
      <c r="J114" s="20"/>
      <c r="K114" s="8"/>
      <c r="L114" s="8"/>
    </row>
    <row r="115" spans="1:12" ht="15.75" thickBot="1">
      <c r="A115" s="8">
        <v>37</v>
      </c>
      <c r="B115" s="8" t="s">
        <v>30</v>
      </c>
      <c r="C115" s="8" t="s">
        <v>12</v>
      </c>
      <c r="D115" s="29">
        <f>22308.85+5015.78</f>
        <v>27324.629999999997</v>
      </c>
      <c r="E115" s="29">
        <v>683.47</v>
      </c>
      <c r="F115" s="28">
        <v>0</v>
      </c>
      <c r="G115" s="28">
        <v>0</v>
      </c>
      <c r="H115" s="28">
        <v>0</v>
      </c>
      <c r="I115" s="28">
        <v>0</v>
      </c>
      <c r="J115" s="29">
        <f>SUM(D115:I115)</f>
        <v>28008.1</v>
      </c>
      <c r="K115" s="8"/>
      <c r="L115" s="8"/>
    </row>
    <row r="116" spans="1:12">
      <c r="A116" s="8"/>
      <c r="B116" s="8"/>
      <c r="C116" s="8"/>
      <c r="D116" s="20"/>
      <c r="E116" s="20"/>
      <c r="F116" s="15"/>
      <c r="G116" s="15"/>
      <c r="H116" s="15"/>
      <c r="I116" s="15"/>
      <c r="J116" s="20"/>
      <c r="K116" s="8"/>
      <c r="L116" s="8"/>
    </row>
    <row r="117" spans="1:12" ht="15.75" thickBot="1">
      <c r="A117" s="8"/>
      <c r="B117" s="8"/>
      <c r="C117" s="8" t="s">
        <v>10</v>
      </c>
      <c r="D117" s="31">
        <f t="shared" ref="D117:I117" si="16">SUM(D115:D116)</f>
        <v>27324.629999999997</v>
      </c>
      <c r="E117" s="31">
        <f t="shared" si="16"/>
        <v>683.47</v>
      </c>
      <c r="F117" s="30">
        <f t="shared" si="16"/>
        <v>0</v>
      </c>
      <c r="G117" s="30">
        <f t="shared" si="16"/>
        <v>0</v>
      </c>
      <c r="H117" s="30">
        <f t="shared" si="16"/>
        <v>0</v>
      </c>
      <c r="I117" s="30">
        <f t="shared" si="16"/>
        <v>0</v>
      </c>
      <c r="J117" s="31">
        <f>SUM(D117:I117)</f>
        <v>28008.1</v>
      </c>
      <c r="K117" s="8"/>
      <c r="L117" s="8"/>
    </row>
    <row r="118" spans="1:12" ht="15.75" thickTop="1">
      <c r="A118" s="8"/>
      <c r="B118" s="8"/>
      <c r="C118" s="8"/>
      <c r="D118" s="20"/>
      <c r="E118" s="20"/>
      <c r="F118" s="15"/>
      <c r="G118" s="15"/>
      <c r="H118" s="15"/>
      <c r="I118" s="15"/>
      <c r="J118" s="20"/>
      <c r="K118" s="8"/>
      <c r="L118" s="8"/>
    </row>
    <row r="119" spans="1:12">
      <c r="A119" s="8"/>
      <c r="B119" s="8"/>
      <c r="C119" s="8"/>
      <c r="D119" s="20"/>
      <c r="E119" s="20"/>
      <c r="F119" s="15"/>
      <c r="G119" s="15"/>
      <c r="H119" s="15"/>
      <c r="I119" s="15"/>
      <c r="J119" s="20"/>
      <c r="K119" s="8"/>
      <c r="L119" s="8"/>
    </row>
    <row r="120" spans="1:12">
      <c r="A120" s="8">
        <v>38</v>
      </c>
      <c r="B120" s="8" t="s">
        <v>31</v>
      </c>
      <c r="C120" s="8" t="s">
        <v>12</v>
      </c>
      <c r="D120" s="20">
        <f>12217.98+3545.73</f>
        <v>15763.71</v>
      </c>
      <c r="E120" s="35">
        <v>0</v>
      </c>
      <c r="F120" s="15">
        <v>0</v>
      </c>
      <c r="G120" s="15">
        <v>0</v>
      </c>
      <c r="H120" s="15">
        <v>0</v>
      </c>
      <c r="I120" s="15">
        <v>0</v>
      </c>
      <c r="J120" s="20">
        <f>SUM(D120:I120)</f>
        <v>15763.71</v>
      </c>
      <c r="K120" s="8"/>
      <c r="L120" s="8"/>
    </row>
    <row r="121" spans="1:12">
      <c r="A121" s="8"/>
      <c r="B121" s="8"/>
      <c r="C121" s="8" t="s">
        <v>35</v>
      </c>
      <c r="D121" s="20">
        <v>0</v>
      </c>
      <c r="E121" s="35">
        <v>0</v>
      </c>
      <c r="F121" s="15">
        <v>0</v>
      </c>
      <c r="G121" s="15">
        <v>0</v>
      </c>
      <c r="H121" s="15">
        <v>0</v>
      </c>
      <c r="I121" s="15">
        <v>0</v>
      </c>
      <c r="J121" s="20">
        <f>SUM(D121:I121)</f>
        <v>0</v>
      </c>
      <c r="K121" s="8"/>
      <c r="L121" s="8"/>
    </row>
    <row r="122" spans="1:12">
      <c r="A122" s="8"/>
      <c r="B122" s="8"/>
      <c r="C122" s="8" t="s">
        <v>13</v>
      </c>
      <c r="D122" s="20">
        <f>309.73+89.89</f>
        <v>399.62</v>
      </c>
      <c r="E122" s="35">
        <v>0</v>
      </c>
      <c r="F122" s="15">
        <v>0</v>
      </c>
      <c r="G122" s="15">
        <v>0</v>
      </c>
      <c r="H122" s="15">
        <v>0</v>
      </c>
      <c r="I122" s="15">
        <v>0</v>
      </c>
      <c r="J122" s="20">
        <f>SUM(D122:I122)</f>
        <v>399.62</v>
      </c>
      <c r="K122" s="8"/>
      <c r="L122" s="8"/>
    </row>
    <row r="123" spans="1:12" ht="15.75" thickBot="1">
      <c r="A123" s="8"/>
      <c r="B123" s="8"/>
      <c r="C123" s="8" t="s">
        <v>78</v>
      </c>
      <c r="D123" s="29">
        <v>0</v>
      </c>
      <c r="E123" s="34">
        <v>0</v>
      </c>
      <c r="F123" s="28">
        <v>0</v>
      </c>
      <c r="G123" s="28">
        <v>0</v>
      </c>
      <c r="H123" s="28">
        <v>0</v>
      </c>
      <c r="I123" s="28">
        <v>0</v>
      </c>
      <c r="J123" s="29">
        <f>SUM(D123:I123)</f>
        <v>0</v>
      </c>
      <c r="K123" s="8"/>
      <c r="L123" s="8"/>
    </row>
    <row r="124" spans="1:12">
      <c r="A124" s="8"/>
      <c r="B124" s="8"/>
      <c r="C124" s="8"/>
      <c r="D124" s="20"/>
      <c r="E124" s="35"/>
      <c r="F124" s="15"/>
      <c r="G124" s="15"/>
      <c r="H124" s="15"/>
      <c r="I124" s="15"/>
      <c r="J124" s="20"/>
      <c r="K124" s="8"/>
      <c r="L124" s="8"/>
    </row>
    <row r="125" spans="1:12" ht="15.75" thickBot="1">
      <c r="A125" s="8"/>
      <c r="B125" s="8"/>
      <c r="C125" s="8" t="s">
        <v>10</v>
      </c>
      <c r="D125" s="31">
        <f t="shared" ref="D125:I125" si="17">SUM(D120:D123)</f>
        <v>16163.33</v>
      </c>
      <c r="E125" s="44">
        <f t="shared" si="17"/>
        <v>0</v>
      </c>
      <c r="F125" s="30">
        <f t="shared" si="17"/>
        <v>0</v>
      </c>
      <c r="G125" s="30">
        <f t="shared" si="17"/>
        <v>0</v>
      </c>
      <c r="H125" s="30">
        <f t="shared" si="17"/>
        <v>0</v>
      </c>
      <c r="I125" s="30">
        <f t="shared" si="17"/>
        <v>0</v>
      </c>
      <c r="J125" s="31">
        <f>SUM(D125:I125)</f>
        <v>16163.33</v>
      </c>
      <c r="K125" s="8"/>
      <c r="L125" s="8"/>
    </row>
    <row r="126" spans="1:12" ht="15.75" thickTop="1">
      <c r="A126" s="8"/>
      <c r="B126" s="8"/>
      <c r="C126" s="8"/>
      <c r="D126" s="20"/>
      <c r="E126" s="20"/>
      <c r="F126" s="15"/>
      <c r="G126" s="15"/>
      <c r="H126" s="15"/>
      <c r="I126" s="15"/>
      <c r="J126" s="20"/>
      <c r="K126" s="8"/>
      <c r="L126" s="8"/>
    </row>
    <row r="127" spans="1:12">
      <c r="A127" s="8"/>
      <c r="B127" s="8"/>
      <c r="C127" s="8"/>
      <c r="D127" s="20"/>
      <c r="E127" s="20"/>
      <c r="F127" s="15"/>
      <c r="G127" s="15"/>
      <c r="H127" s="15"/>
      <c r="I127" s="15"/>
      <c r="J127" s="20"/>
      <c r="K127" s="8"/>
      <c r="L127" s="8"/>
    </row>
    <row r="128" spans="1:12" ht="15.75" thickBot="1">
      <c r="A128" s="8">
        <v>39</v>
      </c>
      <c r="B128" s="8" t="s">
        <v>32</v>
      </c>
      <c r="C128" s="8" t="s">
        <v>12</v>
      </c>
      <c r="D128" s="34">
        <v>0</v>
      </c>
      <c r="E128" s="34">
        <v>0</v>
      </c>
      <c r="F128" s="28">
        <v>0</v>
      </c>
      <c r="G128" s="28">
        <v>0</v>
      </c>
      <c r="H128" s="28">
        <v>0</v>
      </c>
      <c r="I128" s="28">
        <v>0</v>
      </c>
      <c r="J128" s="34">
        <f>SUM(D128:I128)</f>
        <v>0</v>
      </c>
      <c r="K128" s="8"/>
      <c r="L128" s="8"/>
    </row>
    <row r="129" spans="1:12">
      <c r="A129" s="8"/>
      <c r="B129" s="8"/>
      <c r="C129" s="8"/>
      <c r="D129" s="35"/>
      <c r="E129" s="35"/>
      <c r="F129" s="15"/>
      <c r="G129" s="15"/>
      <c r="H129" s="15"/>
      <c r="I129" s="15"/>
      <c r="J129" s="20"/>
      <c r="K129" s="8"/>
      <c r="L129" s="8"/>
    </row>
    <row r="130" spans="1:12" ht="15.75" thickBot="1">
      <c r="A130" s="8"/>
      <c r="B130" s="8"/>
      <c r="C130" s="8" t="s">
        <v>10</v>
      </c>
      <c r="D130" s="44">
        <f>D128</f>
        <v>0</v>
      </c>
      <c r="E130" s="44">
        <f t="shared" ref="E130:J130" si="18">E128</f>
        <v>0</v>
      </c>
      <c r="F130" s="30">
        <f t="shared" si="18"/>
        <v>0</v>
      </c>
      <c r="G130" s="30">
        <f t="shared" si="18"/>
        <v>0</v>
      </c>
      <c r="H130" s="30">
        <f t="shared" si="18"/>
        <v>0</v>
      </c>
      <c r="I130" s="30">
        <f t="shared" si="18"/>
        <v>0</v>
      </c>
      <c r="J130" s="30">
        <f t="shared" si="18"/>
        <v>0</v>
      </c>
      <c r="K130" s="8"/>
      <c r="L130" s="8"/>
    </row>
    <row r="131" spans="1:12" ht="15.75" thickTop="1">
      <c r="A131" s="8"/>
      <c r="B131" s="8"/>
      <c r="C131" s="8"/>
      <c r="D131" s="20"/>
      <c r="E131" s="20"/>
      <c r="F131" s="15"/>
      <c r="G131" s="15"/>
      <c r="H131" s="15"/>
      <c r="I131" s="15"/>
      <c r="J131" s="20"/>
      <c r="K131" s="8"/>
      <c r="L131" s="8"/>
    </row>
    <row r="132" spans="1:12">
      <c r="A132" s="8"/>
      <c r="B132" s="8"/>
      <c r="C132" s="8"/>
      <c r="D132" s="20"/>
      <c r="E132" s="20"/>
      <c r="F132" s="15"/>
      <c r="G132" s="15"/>
      <c r="H132" s="15"/>
      <c r="I132" s="15"/>
      <c r="J132" s="20"/>
      <c r="K132" s="8"/>
      <c r="L132" s="8"/>
    </row>
    <row r="133" spans="1:12" ht="15.75" thickBot="1">
      <c r="A133" s="8">
        <v>40</v>
      </c>
      <c r="B133" s="8" t="s">
        <v>33</v>
      </c>
      <c r="C133" s="8" t="s">
        <v>12</v>
      </c>
      <c r="D133" s="29">
        <f>15748.81+3804.02</f>
        <v>19552.829999999998</v>
      </c>
      <c r="E133" s="34">
        <v>8.7100000000000009</v>
      </c>
      <c r="F133" s="28">
        <v>5.84</v>
      </c>
      <c r="G133" s="28">
        <v>0</v>
      </c>
      <c r="H133" s="28">
        <v>0</v>
      </c>
      <c r="I133" s="28">
        <v>0</v>
      </c>
      <c r="J133" s="29">
        <f>SUM(D133:I133)</f>
        <v>19567.379999999997</v>
      </c>
      <c r="K133" s="8"/>
      <c r="L133" s="8"/>
    </row>
    <row r="134" spans="1:12">
      <c r="A134" s="8"/>
      <c r="B134" s="8"/>
      <c r="C134" s="8"/>
      <c r="D134" s="20"/>
      <c r="E134" s="35"/>
      <c r="F134" s="15"/>
      <c r="G134" s="15"/>
      <c r="H134" s="15"/>
      <c r="I134" s="15"/>
      <c r="J134" s="20"/>
      <c r="K134" s="8"/>
      <c r="L134" s="8"/>
    </row>
    <row r="135" spans="1:12" ht="15.75" thickBot="1">
      <c r="A135" s="8"/>
      <c r="B135" s="8"/>
      <c r="C135" s="8" t="s">
        <v>10</v>
      </c>
      <c r="D135" s="31">
        <f t="shared" ref="D135:I135" si="19">SUM(D133:D134)</f>
        <v>19552.829999999998</v>
      </c>
      <c r="E135" s="44">
        <f t="shared" si="19"/>
        <v>8.7100000000000009</v>
      </c>
      <c r="F135" s="30">
        <f t="shared" si="19"/>
        <v>5.84</v>
      </c>
      <c r="G135" s="30">
        <f t="shared" si="19"/>
        <v>0</v>
      </c>
      <c r="H135" s="30">
        <f t="shared" si="19"/>
        <v>0</v>
      </c>
      <c r="I135" s="30">
        <f t="shared" si="19"/>
        <v>0</v>
      </c>
      <c r="J135" s="31">
        <f>SUM(D135:I135)</f>
        <v>19567.379999999997</v>
      </c>
      <c r="K135" s="8"/>
      <c r="L135" s="8"/>
    </row>
    <row r="136" spans="1:12" ht="15.75" thickTop="1">
      <c r="A136" s="8"/>
      <c r="B136" s="8"/>
      <c r="C136" s="8"/>
      <c r="D136" s="20"/>
      <c r="E136" s="20"/>
      <c r="F136" s="15"/>
      <c r="G136" s="15"/>
      <c r="H136" s="15"/>
      <c r="I136" s="15"/>
      <c r="J136" s="20"/>
      <c r="K136" s="8"/>
      <c r="L136" s="8"/>
    </row>
    <row r="137" spans="1:12">
      <c r="A137" s="8"/>
      <c r="B137" s="8"/>
      <c r="C137" s="8"/>
      <c r="D137" s="20"/>
      <c r="E137" s="20"/>
      <c r="F137" s="15"/>
      <c r="G137" s="15"/>
      <c r="H137" s="15"/>
      <c r="I137" s="15"/>
      <c r="J137" s="20"/>
      <c r="K137" s="8"/>
      <c r="L137" s="8"/>
    </row>
    <row r="138" spans="1:12">
      <c r="A138" s="8">
        <v>41</v>
      </c>
      <c r="B138" s="8" t="s">
        <v>34</v>
      </c>
      <c r="C138" s="8" t="s">
        <v>12</v>
      </c>
      <c r="D138" s="20">
        <f>12792.89+2889.27</f>
        <v>15682.16</v>
      </c>
      <c r="E138" s="41">
        <v>0.22</v>
      </c>
      <c r="F138" s="15">
        <v>0</v>
      </c>
      <c r="G138" s="15">
        <v>0</v>
      </c>
      <c r="H138" s="15">
        <v>0</v>
      </c>
      <c r="I138" s="15">
        <v>0</v>
      </c>
      <c r="J138" s="20">
        <f>SUM(D138:I138)</f>
        <v>15682.38</v>
      </c>
      <c r="K138" s="8"/>
      <c r="L138" s="8"/>
    </row>
    <row r="139" spans="1:12">
      <c r="A139" s="8"/>
      <c r="B139" s="8"/>
      <c r="C139" s="38" t="s">
        <v>35</v>
      </c>
      <c r="D139" s="20">
        <v>0</v>
      </c>
      <c r="E139" s="41">
        <v>0.01</v>
      </c>
      <c r="F139" s="15">
        <v>0</v>
      </c>
      <c r="G139" s="15">
        <v>0</v>
      </c>
      <c r="H139" s="15">
        <v>0</v>
      </c>
      <c r="I139" s="15">
        <v>0</v>
      </c>
      <c r="J139" s="20">
        <f>SUM(D139:I139)</f>
        <v>0.01</v>
      </c>
      <c r="K139" s="8"/>
      <c r="L139" s="8"/>
    </row>
    <row r="140" spans="1:12" ht="15.75" thickBot="1">
      <c r="A140" s="8"/>
      <c r="B140" s="8"/>
      <c r="C140" s="38" t="s">
        <v>109</v>
      </c>
      <c r="D140" s="29">
        <v>0</v>
      </c>
      <c r="E140" s="42">
        <v>0.03</v>
      </c>
      <c r="F140" s="28">
        <v>0</v>
      </c>
      <c r="G140" s="28">
        <v>0</v>
      </c>
      <c r="H140" s="28">
        <v>0</v>
      </c>
      <c r="I140" s="28">
        <v>0</v>
      </c>
      <c r="J140" s="29">
        <f>SUM(D140:I140)</f>
        <v>0.03</v>
      </c>
      <c r="K140" s="8"/>
      <c r="L140" s="8"/>
    </row>
    <row r="141" spans="1:12">
      <c r="A141" s="8"/>
      <c r="B141" s="8"/>
      <c r="C141" s="8"/>
      <c r="D141" s="20"/>
      <c r="E141" s="41"/>
      <c r="F141" s="15"/>
      <c r="G141" s="15"/>
      <c r="H141" s="15"/>
      <c r="I141" s="15"/>
      <c r="J141" s="20"/>
      <c r="K141" s="8"/>
      <c r="L141" s="8"/>
    </row>
    <row r="142" spans="1:12" ht="15.75" thickBot="1">
      <c r="A142" s="8"/>
      <c r="B142" s="8"/>
      <c r="C142" s="8" t="s">
        <v>10</v>
      </c>
      <c r="D142" s="31">
        <f t="shared" ref="D142:I142" si="20">SUM(D138:D140)</f>
        <v>15682.16</v>
      </c>
      <c r="E142" s="43">
        <f t="shared" si="20"/>
        <v>0.26</v>
      </c>
      <c r="F142" s="30">
        <f t="shared" si="20"/>
        <v>0</v>
      </c>
      <c r="G142" s="30">
        <f t="shared" si="20"/>
        <v>0</v>
      </c>
      <c r="H142" s="30">
        <f t="shared" si="20"/>
        <v>0</v>
      </c>
      <c r="I142" s="30">
        <f t="shared" si="20"/>
        <v>0</v>
      </c>
      <c r="J142" s="31">
        <f>SUM(D142:I142)</f>
        <v>15682.42</v>
      </c>
      <c r="K142" s="8"/>
      <c r="L142" s="8"/>
    </row>
    <row r="143" spans="1:12" ht="15.75" thickTop="1">
      <c r="A143" s="8"/>
      <c r="B143" s="8"/>
      <c r="C143" s="8"/>
      <c r="D143" s="20"/>
      <c r="E143" s="20"/>
      <c r="F143" s="15"/>
      <c r="G143" s="15"/>
      <c r="H143" s="15"/>
      <c r="I143" s="15"/>
      <c r="J143" s="20"/>
      <c r="K143" s="8"/>
      <c r="L143" s="8"/>
    </row>
    <row r="144" spans="1:12">
      <c r="A144" s="8"/>
      <c r="B144" s="8"/>
      <c r="C144" s="8"/>
      <c r="D144" s="20"/>
      <c r="E144" s="20"/>
      <c r="F144" s="15"/>
      <c r="G144" s="15"/>
      <c r="H144" s="15"/>
      <c r="I144" s="15"/>
      <c r="J144" s="20"/>
      <c r="K144" s="8"/>
      <c r="L144" s="8"/>
    </row>
    <row r="145" spans="1:12">
      <c r="A145" s="8">
        <v>42</v>
      </c>
      <c r="B145" s="8" t="s">
        <v>36</v>
      </c>
      <c r="C145" s="8" t="s">
        <v>12</v>
      </c>
      <c r="D145" s="20">
        <f>11807+2494.15</f>
        <v>14301.15</v>
      </c>
      <c r="E145" s="20">
        <v>454.01</v>
      </c>
      <c r="F145" s="40">
        <v>0</v>
      </c>
      <c r="G145" s="15">
        <v>0</v>
      </c>
      <c r="H145" s="15">
        <v>0</v>
      </c>
      <c r="I145" s="15">
        <v>0</v>
      </c>
      <c r="J145" s="20">
        <f>SUM(D145:I145)</f>
        <v>14755.16</v>
      </c>
      <c r="K145" s="8"/>
      <c r="L145" s="8"/>
    </row>
    <row r="146" spans="1:12" ht="15.75" thickBot="1">
      <c r="A146" s="8"/>
      <c r="B146" s="8"/>
      <c r="C146" s="8" t="s">
        <v>13</v>
      </c>
      <c r="D146" s="29">
        <f>705.02+148.93</f>
        <v>853.95</v>
      </c>
      <c r="E146" s="29">
        <v>30.65</v>
      </c>
      <c r="F146" s="28">
        <v>0</v>
      </c>
      <c r="G146" s="28">
        <v>0</v>
      </c>
      <c r="H146" s="28">
        <v>0</v>
      </c>
      <c r="I146" s="28">
        <v>0</v>
      </c>
      <c r="J146" s="29">
        <f>SUM(D146:I146)</f>
        <v>884.6</v>
      </c>
      <c r="K146" s="8"/>
      <c r="L146" s="8"/>
    </row>
    <row r="147" spans="1:12">
      <c r="A147" s="8"/>
      <c r="B147" s="8"/>
      <c r="C147" s="8"/>
      <c r="D147" s="20"/>
      <c r="E147" s="20"/>
      <c r="F147" s="15"/>
      <c r="G147" s="15"/>
      <c r="H147" s="15"/>
      <c r="I147" s="15"/>
      <c r="J147" s="20"/>
      <c r="K147" s="8"/>
      <c r="L147" s="8"/>
    </row>
    <row r="148" spans="1:12" ht="15.75" thickBot="1">
      <c r="A148" s="8"/>
      <c r="B148" s="8"/>
      <c r="C148" s="8" t="s">
        <v>10</v>
      </c>
      <c r="D148" s="31">
        <f t="shared" ref="D148:I148" si="21">SUM(D145:D146)</f>
        <v>15155.1</v>
      </c>
      <c r="E148" s="31">
        <f t="shared" si="21"/>
        <v>484.65999999999997</v>
      </c>
      <c r="F148" s="30">
        <f t="shared" si="21"/>
        <v>0</v>
      </c>
      <c r="G148" s="30">
        <f t="shared" si="21"/>
        <v>0</v>
      </c>
      <c r="H148" s="30">
        <f t="shared" si="21"/>
        <v>0</v>
      </c>
      <c r="I148" s="30">
        <f t="shared" si="21"/>
        <v>0</v>
      </c>
      <c r="J148" s="31">
        <f>SUM(D148:I148)</f>
        <v>15639.76</v>
      </c>
      <c r="K148" s="8"/>
      <c r="L148" s="8"/>
    </row>
    <row r="149" spans="1:12" ht="15.75" thickTop="1">
      <c r="A149" s="8"/>
      <c r="B149" s="8"/>
      <c r="C149" s="8"/>
      <c r="D149" s="20"/>
      <c r="E149" s="20"/>
      <c r="F149" s="15"/>
      <c r="G149" s="15"/>
      <c r="H149" s="15"/>
      <c r="I149" s="15"/>
      <c r="J149" s="20"/>
      <c r="K149" s="8"/>
      <c r="L149" s="8"/>
    </row>
    <row r="150" spans="1:12">
      <c r="A150" s="8"/>
      <c r="B150" s="8"/>
      <c r="C150" s="8"/>
      <c r="D150" s="20"/>
      <c r="E150" s="20"/>
      <c r="F150" s="15"/>
      <c r="G150" s="15"/>
      <c r="H150" s="15"/>
      <c r="I150" s="15"/>
      <c r="J150" s="20"/>
      <c r="K150" s="8"/>
      <c r="L150" s="8"/>
    </row>
    <row r="151" spans="1:12">
      <c r="A151" s="8">
        <v>43</v>
      </c>
      <c r="B151" s="8" t="s">
        <v>37</v>
      </c>
      <c r="C151" s="8" t="s">
        <v>12</v>
      </c>
      <c r="D151" s="20">
        <f>19719.31+8325.78</f>
        <v>28045.090000000004</v>
      </c>
      <c r="E151" s="35">
        <v>0</v>
      </c>
      <c r="F151" s="15">
        <v>0</v>
      </c>
      <c r="G151" s="15">
        <v>0</v>
      </c>
      <c r="H151" s="15">
        <v>0</v>
      </c>
      <c r="I151" s="15">
        <v>0</v>
      </c>
      <c r="J151" s="20">
        <f>SUM(D151:I151)</f>
        <v>28045.090000000004</v>
      </c>
      <c r="K151" s="8"/>
      <c r="L151" s="8"/>
    </row>
    <row r="152" spans="1:12">
      <c r="A152" s="8"/>
      <c r="B152" s="8"/>
      <c r="C152" s="8" t="s">
        <v>35</v>
      </c>
      <c r="D152" s="20">
        <v>0</v>
      </c>
      <c r="E152" s="35">
        <v>0</v>
      </c>
      <c r="F152" s="15">
        <v>0</v>
      </c>
      <c r="G152" s="15">
        <v>0</v>
      </c>
      <c r="H152" s="15">
        <v>0</v>
      </c>
      <c r="I152" s="15">
        <v>0</v>
      </c>
      <c r="J152" s="20">
        <f>SUM(D152:I152)</f>
        <v>0</v>
      </c>
      <c r="K152" s="8"/>
      <c r="L152" s="8"/>
    </row>
    <row r="153" spans="1:12">
      <c r="A153" s="8"/>
      <c r="B153" s="8"/>
      <c r="C153" s="8" t="s">
        <v>13</v>
      </c>
      <c r="D153" s="20">
        <f>266.33+112.45</f>
        <v>378.78</v>
      </c>
      <c r="E153" s="35">
        <v>0</v>
      </c>
      <c r="F153" s="15">
        <v>0</v>
      </c>
      <c r="G153" s="15">
        <v>0</v>
      </c>
      <c r="H153" s="15">
        <v>0</v>
      </c>
      <c r="I153" s="15">
        <v>0</v>
      </c>
      <c r="J153" s="20">
        <f>SUM(D153:I153)</f>
        <v>378.78</v>
      </c>
      <c r="K153" s="8"/>
      <c r="L153" s="8"/>
    </row>
    <row r="154" spans="1:12" ht="15.75" thickBot="1">
      <c r="A154" s="8"/>
      <c r="B154" s="8"/>
      <c r="C154" s="8" t="s">
        <v>78</v>
      </c>
      <c r="D154" s="29">
        <v>0</v>
      </c>
      <c r="E154" s="34">
        <v>0</v>
      </c>
      <c r="F154" s="28">
        <v>0</v>
      </c>
      <c r="G154" s="28">
        <v>0</v>
      </c>
      <c r="H154" s="28">
        <v>0</v>
      </c>
      <c r="I154" s="28">
        <v>0</v>
      </c>
      <c r="J154" s="29">
        <f>SUM(D154:I154)</f>
        <v>0</v>
      </c>
      <c r="K154" s="8"/>
      <c r="L154" s="8"/>
    </row>
    <row r="155" spans="1:12">
      <c r="A155" s="8"/>
      <c r="B155" s="8"/>
      <c r="C155" s="8"/>
      <c r="D155" s="20"/>
      <c r="E155" s="35"/>
      <c r="F155" s="15"/>
      <c r="G155" s="15"/>
      <c r="H155" s="15"/>
      <c r="I155" s="15"/>
      <c r="J155" s="20"/>
      <c r="K155" s="8"/>
      <c r="L155" s="8"/>
    </row>
    <row r="156" spans="1:12" ht="15.75" thickBot="1">
      <c r="A156" s="8"/>
      <c r="B156" s="8"/>
      <c r="C156" s="8" t="s">
        <v>10</v>
      </c>
      <c r="D156" s="31">
        <f t="shared" ref="D156:I156" si="22">SUM(D151:D154)</f>
        <v>28423.870000000003</v>
      </c>
      <c r="E156" s="44">
        <f>SUM(E151:E154)</f>
        <v>0</v>
      </c>
      <c r="F156" s="30">
        <f t="shared" si="22"/>
        <v>0</v>
      </c>
      <c r="G156" s="30">
        <f t="shared" si="22"/>
        <v>0</v>
      </c>
      <c r="H156" s="30">
        <f t="shared" si="22"/>
        <v>0</v>
      </c>
      <c r="I156" s="30">
        <f t="shared" si="22"/>
        <v>0</v>
      </c>
      <c r="J156" s="31">
        <f>SUM(D156:I156)</f>
        <v>28423.870000000003</v>
      </c>
      <c r="K156" s="8"/>
      <c r="L156" s="8"/>
    </row>
    <row r="157" spans="1:12" ht="15.75" thickTop="1">
      <c r="A157" s="8"/>
      <c r="B157" s="8"/>
      <c r="C157" s="8"/>
      <c r="D157" s="20"/>
      <c r="E157" s="20"/>
      <c r="F157" s="15"/>
      <c r="G157" s="15"/>
      <c r="H157" s="15"/>
      <c r="I157" s="15"/>
      <c r="J157" s="20"/>
      <c r="K157" s="8"/>
      <c r="L157" s="8"/>
    </row>
    <row r="158" spans="1:12">
      <c r="A158" s="8"/>
      <c r="B158" s="8"/>
      <c r="C158" s="8"/>
      <c r="D158" s="20"/>
      <c r="E158" s="20"/>
      <c r="F158" s="15"/>
      <c r="G158" s="15"/>
      <c r="H158" s="15"/>
      <c r="I158" s="15"/>
      <c r="J158" s="20"/>
      <c r="K158" s="8"/>
      <c r="L158" s="8"/>
    </row>
    <row r="159" spans="1:12" ht="15.75" thickBot="1">
      <c r="A159" s="8">
        <v>44</v>
      </c>
      <c r="B159" s="8" t="s">
        <v>38</v>
      </c>
      <c r="C159" s="8" t="s">
        <v>12</v>
      </c>
      <c r="D159" s="29">
        <f>14054.31+3190.21</f>
        <v>17244.52</v>
      </c>
      <c r="E159" s="29">
        <v>45.6</v>
      </c>
      <c r="F159" s="28">
        <v>0.65</v>
      </c>
      <c r="G159" s="28">
        <v>0</v>
      </c>
      <c r="H159" s="28">
        <v>0</v>
      </c>
      <c r="I159" s="28">
        <v>0</v>
      </c>
      <c r="J159" s="29">
        <f>SUM(D159:I159)</f>
        <v>17290.77</v>
      </c>
      <c r="K159" s="8"/>
      <c r="L159" s="8"/>
    </row>
    <row r="160" spans="1:12">
      <c r="A160" s="8"/>
      <c r="B160" s="8"/>
      <c r="C160" s="8"/>
      <c r="D160" s="20"/>
      <c r="E160" s="20"/>
      <c r="F160" s="15"/>
      <c r="G160" s="15"/>
      <c r="H160" s="15"/>
      <c r="I160" s="15"/>
      <c r="J160" s="20"/>
      <c r="K160" s="8"/>
      <c r="L160" s="8"/>
    </row>
    <row r="161" spans="1:12" ht="15.75" thickBot="1">
      <c r="A161" s="8"/>
      <c r="B161" s="8"/>
      <c r="C161" s="8" t="s">
        <v>10</v>
      </c>
      <c r="D161" s="31">
        <f t="shared" ref="D161:I161" si="23">SUM(D159:D160)</f>
        <v>17244.52</v>
      </c>
      <c r="E161" s="31">
        <f t="shared" si="23"/>
        <v>45.6</v>
      </c>
      <c r="F161" s="30">
        <f t="shared" si="23"/>
        <v>0.65</v>
      </c>
      <c r="G161" s="30">
        <f t="shared" si="23"/>
        <v>0</v>
      </c>
      <c r="H161" s="30">
        <f t="shared" si="23"/>
        <v>0</v>
      </c>
      <c r="I161" s="30">
        <f t="shared" si="23"/>
        <v>0</v>
      </c>
      <c r="J161" s="31">
        <f>SUM(D161:I161)</f>
        <v>17290.77</v>
      </c>
      <c r="K161" s="8"/>
      <c r="L161" s="8"/>
    </row>
    <row r="162" spans="1:12" ht="15.75" thickTop="1">
      <c r="A162" s="8"/>
      <c r="B162" s="8"/>
      <c r="C162" s="8"/>
      <c r="D162" s="20"/>
      <c r="E162" s="20"/>
      <c r="F162" s="15"/>
      <c r="G162" s="15" t="s">
        <v>70</v>
      </c>
      <c r="H162" s="15" t="s">
        <v>70</v>
      </c>
      <c r="I162" s="15" t="s">
        <v>70</v>
      </c>
      <c r="J162" s="20"/>
      <c r="K162" s="8"/>
      <c r="L162" s="8"/>
    </row>
    <row r="163" spans="1:12">
      <c r="A163" s="8"/>
      <c r="B163" s="8"/>
      <c r="C163" s="8"/>
      <c r="D163" s="20"/>
      <c r="E163" s="20"/>
      <c r="F163" s="15"/>
      <c r="G163" s="15"/>
      <c r="H163" s="15"/>
      <c r="I163" s="15"/>
      <c r="J163" s="20"/>
      <c r="K163" s="8"/>
      <c r="L163" s="8"/>
    </row>
    <row r="164" spans="1:12">
      <c r="A164" s="8">
        <v>45</v>
      </c>
      <c r="B164" s="8" t="s">
        <v>39</v>
      </c>
      <c r="C164" s="8" t="s">
        <v>12</v>
      </c>
      <c r="D164" s="20">
        <f>12665.06+2768.5</f>
        <v>15433.56</v>
      </c>
      <c r="E164" s="20">
        <v>840.82</v>
      </c>
      <c r="F164" s="15">
        <v>781.01</v>
      </c>
      <c r="G164" s="15">
        <v>0</v>
      </c>
      <c r="H164" s="15">
        <v>0</v>
      </c>
      <c r="I164" s="15">
        <v>0</v>
      </c>
      <c r="J164" s="20">
        <f>SUM(D164:I164)</f>
        <v>17055.39</v>
      </c>
      <c r="K164" s="8"/>
      <c r="L164" s="8"/>
    </row>
    <row r="165" spans="1:12" ht="15.75" thickBot="1">
      <c r="A165" s="8"/>
      <c r="B165" s="8"/>
      <c r="C165" s="38" t="s">
        <v>116</v>
      </c>
      <c r="D165" s="29">
        <f>5788.6+1265.35</f>
        <v>7053.9500000000007</v>
      </c>
      <c r="E165" s="29">
        <v>390.76</v>
      </c>
      <c r="F165" s="28">
        <v>347.11</v>
      </c>
      <c r="G165" s="28">
        <v>0</v>
      </c>
      <c r="H165" s="28">
        <v>0</v>
      </c>
      <c r="I165" s="28">
        <v>0</v>
      </c>
      <c r="J165" s="29">
        <f>SUM(D165:I165)</f>
        <v>7791.8200000000006</v>
      </c>
      <c r="K165" s="8"/>
      <c r="L165" s="8"/>
    </row>
    <row r="166" spans="1:12">
      <c r="A166" s="8"/>
      <c r="B166" s="8"/>
      <c r="C166" s="8"/>
      <c r="D166" s="20"/>
      <c r="E166" s="20"/>
      <c r="F166" s="15"/>
      <c r="G166" s="15"/>
      <c r="H166" s="15"/>
      <c r="I166" s="15"/>
      <c r="J166" s="20"/>
      <c r="K166" s="8"/>
      <c r="L166" s="8"/>
    </row>
    <row r="167" spans="1:12" ht="15.75" thickBot="1">
      <c r="A167" s="8"/>
      <c r="B167" s="8"/>
      <c r="C167" s="8" t="s">
        <v>10</v>
      </c>
      <c r="D167" s="31">
        <f t="shared" ref="D167:I167" si="24">SUM(D164:D166)</f>
        <v>22487.510000000002</v>
      </c>
      <c r="E167" s="31">
        <f t="shared" si="24"/>
        <v>1231.58</v>
      </c>
      <c r="F167" s="30">
        <f t="shared" si="24"/>
        <v>1128.1199999999999</v>
      </c>
      <c r="G167" s="30">
        <f t="shared" si="24"/>
        <v>0</v>
      </c>
      <c r="H167" s="30">
        <f t="shared" si="24"/>
        <v>0</v>
      </c>
      <c r="I167" s="30">
        <f t="shared" si="24"/>
        <v>0</v>
      </c>
      <c r="J167" s="31">
        <f>SUM(D167:I167)</f>
        <v>24847.210000000003</v>
      </c>
      <c r="K167" s="8"/>
      <c r="L167" s="8"/>
    </row>
    <row r="168" spans="1:12" ht="15.75" thickTop="1">
      <c r="A168" s="8"/>
      <c r="B168" s="8"/>
      <c r="C168" s="8"/>
      <c r="D168" s="20"/>
      <c r="E168" s="20"/>
      <c r="F168" s="15"/>
      <c r="G168" s="15"/>
      <c r="H168" s="15"/>
      <c r="I168" s="15"/>
      <c r="J168" s="20"/>
      <c r="K168" s="8"/>
      <c r="L168" s="8"/>
    </row>
    <row r="169" spans="1:12">
      <c r="A169" s="8"/>
      <c r="B169" s="8"/>
      <c r="C169" s="8"/>
      <c r="D169" s="20"/>
      <c r="E169" s="20"/>
      <c r="F169" s="15"/>
      <c r="G169" s="15"/>
      <c r="H169" s="15"/>
      <c r="I169" s="15"/>
      <c r="J169" s="20"/>
      <c r="K169" s="8"/>
      <c r="L169" s="8"/>
    </row>
    <row r="170" spans="1:12" ht="15.75" thickBot="1">
      <c r="A170" s="8">
        <v>46</v>
      </c>
      <c r="B170" s="8" t="s">
        <v>40</v>
      </c>
      <c r="C170" s="8" t="s">
        <v>12</v>
      </c>
      <c r="D170" s="29">
        <f>10458.9+2400.76</f>
        <v>12859.66</v>
      </c>
      <c r="E170" s="34">
        <v>3.21</v>
      </c>
      <c r="F170" s="28">
        <v>0</v>
      </c>
      <c r="G170" s="28">
        <v>0</v>
      </c>
      <c r="H170" s="28">
        <v>0</v>
      </c>
      <c r="I170" s="28">
        <v>0</v>
      </c>
      <c r="J170" s="29">
        <f>SUM(D170:I170)</f>
        <v>12862.869999999999</v>
      </c>
      <c r="K170" s="8"/>
      <c r="L170" s="8"/>
    </row>
    <row r="171" spans="1:12">
      <c r="A171" s="8"/>
      <c r="B171" s="8"/>
      <c r="C171" s="8"/>
      <c r="D171" s="20"/>
      <c r="E171" s="35"/>
      <c r="F171" s="15"/>
      <c r="G171" s="15"/>
      <c r="H171" s="15"/>
      <c r="I171" s="15"/>
      <c r="J171" s="20"/>
      <c r="K171" s="8"/>
      <c r="L171" s="8"/>
    </row>
    <row r="172" spans="1:12" ht="15.75" thickBot="1">
      <c r="A172" s="8"/>
      <c r="B172" s="8"/>
      <c r="C172" s="8" t="s">
        <v>10</v>
      </c>
      <c r="D172" s="31">
        <f t="shared" ref="D172:I172" si="25">SUM(D170:D171)</f>
        <v>12859.66</v>
      </c>
      <c r="E172" s="44">
        <f t="shared" si="25"/>
        <v>3.21</v>
      </c>
      <c r="F172" s="30">
        <f t="shared" si="25"/>
        <v>0</v>
      </c>
      <c r="G172" s="30">
        <f t="shared" si="25"/>
        <v>0</v>
      </c>
      <c r="H172" s="30">
        <f t="shared" si="25"/>
        <v>0</v>
      </c>
      <c r="I172" s="30">
        <f t="shared" si="25"/>
        <v>0</v>
      </c>
      <c r="J172" s="31">
        <f>SUM(D172:I172)</f>
        <v>12862.869999999999</v>
      </c>
      <c r="K172" s="8"/>
      <c r="L172" s="8"/>
    </row>
    <row r="173" spans="1:12" ht="15.75" thickTop="1">
      <c r="A173" s="8"/>
      <c r="B173" s="8"/>
      <c r="C173" s="8"/>
      <c r="D173" s="20"/>
      <c r="E173" s="20"/>
      <c r="F173" s="15"/>
      <c r="G173" s="15"/>
      <c r="H173" s="15"/>
      <c r="I173" s="15"/>
      <c r="J173" s="20"/>
      <c r="K173" s="8"/>
      <c r="L173" s="8"/>
    </row>
    <row r="174" spans="1:12">
      <c r="A174" s="8"/>
      <c r="B174" s="8"/>
      <c r="C174" s="8"/>
      <c r="D174" s="20"/>
      <c r="E174" s="20"/>
      <c r="F174" s="15"/>
      <c r="G174" s="15"/>
      <c r="H174" s="15"/>
      <c r="I174" s="15"/>
      <c r="J174" s="20"/>
      <c r="K174" s="8"/>
      <c r="L174" s="8"/>
    </row>
    <row r="175" spans="1:12" ht="15.75" thickBot="1">
      <c r="A175" s="8">
        <v>47</v>
      </c>
      <c r="B175" s="8" t="s">
        <v>41</v>
      </c>
      <c r="C175" s="8" t="s">
        <v>12</v>
      </c>
      <c r="D175" s="29">
        <f>7571.67+1892.43</f>
        <v>9464.1</v>
      </c>
      <c r="E175" s="29">
        <v>81.44</v>
      </c>
      <c r="F175" s="28">
        <v>0</v>
      </c>
      <c r="G175" s="28">
        <v>0</v>
      </c>
      <c r="H175" s="28">
        <v>0</v>
      </c>
      <c r="I175" s="28">
        <v>0</v>
      </c>
      <c r="J175" s="29">
        <f>SUM(D175:I175)</f>
        <v>9545.5400000000009</v>
      </c>
      <c r="K175" s="8"/>
      <c r="L175" s="8"/>
    </row>
    <row r="176" spans="1:12">
      <c r="A176" s="8"/>
      <c r="B176" s="8"/>
      <c r="C176" s="8"/>
      <c r="D176" s="20"/>
      <c r="E176" s="20"/>
      <c r="F176" s="15"/>
      <c r="G176" s="15"/>
      <c r="H176" s="15"/>
      <c r="I176" s="15"/>
      <c r="J176" s="20"/>
      <c r="K176" s="8"/>
      <c r="L176" s="8"/>
    </row>
    <row r="177" spans="1:12" ht="15.75" thickBot="1">
      <c r="A177" s="8"/>
      <c r="B177" s="8"/>
      <c r="C177" s="8" t="s">
        <v>10</v>
      </c>
      <c r="D177" s="31">
        <f t="shared" ref="D177:I177" si="26">SUM(D175:D176)</f>
        <v>9464.1</v>
      </c>
      <c r="E177" s="31">
        <f t="shared" si="26"/>
        <v>81.44</v>
      </c>
      <c r="F177" s="30">
        <f t="shared" si="26"/>
        <v>0</v>
      </c>
      <c r="G177" s="30">
        <f t="shared" si="26"/>
        <v>0</v>
      </c>
      <c r="H177" s="30">
        <f t="shared" si="26"/>
        <v>0</v>
      </c>
      <c r="I177" s="30">
        <f t="shared" si="26"/>
        <v>0</v>
      </c>
      <c r="J177" s="31">
        <f>SUM(D177:I177)</f>
        <v>9545.5400000000009</v>
      </c>
      <c r="K177" s="8"/>
      <c r="L177" s="8"/>
    </row>
    <row r="178" spans="1:12" ht="15.75" thickTop="1">
      <c r="A178" s="8"/>
      <c r="B178" s="8"/>
      <c r="C178" s="8"/>
      <c r="D178" s="20"/>
      <c r="E178" s="20"/>
      <c r="F178" s="15"/>
      <c r="G178" s="15"/>
      <c r="H178" s="15"/>
      <c r="I178" s="15"/>
      <c r="J178" s="20"/>
      <c r="K178" s="8"/>
      <c r="L178" s="8"/>
    </row>
    <row r="179" spans="1:12">
      <c r="A179" s="8"/>
      <c r="B179" s="8"/>
      <c r="C179" s="8"/>
      <c r="D179" s="20"/>
      <c r="E179" s="20"/>
      <c r="F179" s="15"/>
      <c r="G179" s="15"/>
      <c r="H179" s="15"/>
      <c r="I179" s="15"/>
      <c r="J179" s="20"/>
      <c r="K179" s="8"/>
      <c r="L179" s="8"/>
    </row>
    <row r="180" spans="1:12" ht="15.75" thickBot="1">
      <c r="A180" s="8">
        <v>48</v>
      </c>
      <c r="B180" s="8" t="s">
        <v>42</v>
      </c>
      <c r="C180" s="8" t="s">
        <v>12</v>
      </c>
      <c r="D180" s="29">
        <f>8150.59+2207.14</f>
        <v>10357.73</v>
      </c>
      <c r="E180" s="34">
        <v>97.04</v>
      </c>
      <c r="F180" s="28">
        <v>0</v>
      </c>
      <c r="G180" s="28">
        <v>0</v>
      </c>
      <c r="H180" s="28">
        <v>0</v>
      </c>
      <c r="I180" s="28">
        <v>0</v>
      </c>
      <c r="J180" s="29">
        <f>SUM(D180:I180)</f>
        <v>10454.77</v>
      </c>
      <c r="K180" s="8"/>
      <c r="L180" s="8"/>
    </row>
    <row r="181" spans="1:12">
      <c r="A181" s="8"/>
      <c r="B181" s="8"/>
      <c r="C181" s="8"/>
      <c r="D181" s="20"/>
      <c r="E181" s="35"/>
      <c r="F181" s="15"/>
      <c r="G181" s="15"/>
      <c r="H181" s="15"/>
      <c r="I181" s="15"/>
      <c r="J181" s="20"/>
      <c r="K181" s="8"/>
      <c r="L181" s="8"/>
    </row>
    <row r="182" spans="1:12" ht="15.75" thickBot="1">
      <c r="A182" s="8"/>
      <c r="B182" s="8"/>
      <c r="C182" s="8"/>
      <c r="D182" s="31">
        <f t="shared" ref="D182:I182" si="27">SUM(D180:D181)</f>
        <v>10357.73</v>
      </c>
      <c r="E182" s="44">
        <f t="shared" si="27"/>
        <v>97.04</v>
      </c>
      <c r="F182" s="30">
        <f t="shared" si="27"/>
        <v>0</v>
      </c>
      <c r="G182" s="30">
        <f t="shared" si="27"/>
        <v>0</v>
      </c>
      <c r="H182" s="30">
        <f t="shared" si="27"/>
        <v>0</v>
      </c>
      <c r="I182" s="30">
        <f t="shared" si="27"/>
        <v>0</v>
      </c>
      <c r="J182" s="31">
        <f>SUM(D182:I182)</f>
        <v>10454.77</v>
      </c>
      <c r="K182" s="8"/>
      <c r="L182" s="8"/>
    </row>
    <row r="183" spans="1:12" ht="15.75" thickTop="1">
      <c r="A183" s="8"/>
      <c r="B183" s="8"/>
      <c r="C183" s="8"/>
      <c r="D183" s="20"/>
      <c r="E183" s="20"/>
      <c r="F183" s="15"/>
      <c r="G183" s="15"/>
      <c r="H183" s="15"/>
      <c r="I183" s="15"/>
      <c r="J183" s="20"/>
      <c r="K183" s="8"/>
      <c r="L183" s="8"/>
    </row>
    <row r="184" spans="1:12">
      <c r="A184" s="8"/>
      <c r="B184" s="8"/>
      <c r="C184" s="8"/>
      <c r="D184" s="20"/>
      <c r="E184" s="20"/>
      <c r="F184" s="15"/>
      <c r="G184" s="15"/>
      <c r="H184" s="15"/>
      <c r="I184" s="15"/>
      <c r="J184" s="20"/>
      <c r="K184" s="8"/>
      <c r="L184" s="8"/>
    </row>
    <row r="185" spans="1:12" ht="15.75" thickBot="1">
      <c r="A185" s="8">
        <v>49</v>
      </c>
      <c r="B185" s="8" t="s">
        <v>43</v>
      </c>
      <c r="C185" s="8" t="s">
        <v>12</v>
      </c>
      <c r="D185" s="29">
        <f>20669.27+4871.55</f>
        <v>25540.82</v>
      </c>
      <c r="E185" s="29">
        <v>164.9</v>
      </c>
      <c r="F185" s="28">
        <v>0</v>
      </c>
      <c r="G185" s="28">
        <v>0</v>
      </c>
      <c r="H185" s="28">
        <v>0</v>
      </c>
      <c r="I185" s="28">
        <v>0</v>
      </c>
      <c r="J185" s="29">
        <f>SUM(D185:I185)</f>
        <v>25705.72</v>
      </c>
      <c r="K185" s="8"/>
      <c r="L185" s="8"/>
    </row>
    <row r="186" spans="1:12">
      <c r="A186" s="8"/>
      <c r="B186" s="8"/>
      <c r="C186" s="8"/>
      <c r="D186" s="20"/>
      <c r="E186" s="20"/>
      <c r="F186" s="15"/>
      <c r="G186" s="15"/>
      <c r="H186" s="15"/>
      <c r="I186" s="15"/>
      <c r="J186" s="20"/>
      <c r="K186" s="8"/>
      <c r="L186" s="8"/>
    </row>
    <row r="187" spans="1:12" ht="15.75" thickBot="1">
      <c r="A187" s="8"/>
      <c r="B187" s="8"/>
      <c r="C187" s="8" t="s">
        <v>10</v>
      </c>
      <c r="D187" s="31">
        <f t="shared" ref="D187:I187" si="28">SUM(D185:D186)</f>
        <v>25540.82</v>
      </c>
      <c r="E187" s="31">
        <f t="shared" si="28"/>
        <v>164.9</v>
      </c>
      <c r="F187" s="30">
        <f t="shared" si="28"/>
        <v>0</v>
      </c>
      <c r="G187" s="30">
        <f t="shared" si="28"/>
        <v>0</v>
      </c>
      <c r="H187" s="30">
        <f t="shared" si="28"/>
        <v>0</v>
      </c>
      <c r="I187" s="30">
        <f t="shared" si="28"/>
        <v>0</v>
      </c>
      <c r="J187" s="31">
        <f>SUM(D187:I187)</f>
        <v>25705.72</v>
      </c>
      <c r="K187" s="8"/>
      <c r="L187" s="8"/>
    </row>
    <row r="188" spans="1:12" ht="15.75" thickTop="1">
      <c r="A188" s="8"/>
      <c r="B188" s="8"/>
      <c r="C188" s="8"/>
      <c r="D188" s="20"/>
      <c r="E188" s="20"/>
      <c r="F188" s="15"/>
      <c r="G188" s="15"/>
      <c r="H188" s="15"/>
      <c r="I188" s="15"/>
      <c r="J188" s="20"/>
      <c r="K188" s="8"/>
      <c r="L188" s="8"/>
    </row>
    <row r="189" spans="1:12">
      <c r="A189" s="8"/>
      <c r="B189" s="8"/>
      <c r="C189" s="8"/>
      <c r="D189" s="20"/>
      <c r="E189" s="20"/>
      <c r="F189" s="15"/>
      <c r="G189" s="15"/>
      <c r="H189" s="15"/>
      <c r="I189" s="15"/>
      <c r="J189" s="20"/>
      <c r="K189" s="8"/>
      <c r="L189" s="8"/>
    </row>
    <row r="190" spans="1:12">
      <c r="A190" s="8">
        <v>50</v>
      </c>
      <c r="B190" s="8" t="s">
        <v>44</v>
      </c>
      <c r="C190" s="8" t="s">
        <v>12</v>
      </c>
      <c r="D190" s="20">
        <f>4417.6+1176.49</f>
        <v>5594.09</v>
      </c>
      <c r="E190" s="20">
        <v>132.13999999999999</v>
      </c>
      <c r="F190" s="15">
        <v>54.87</v>
      </c>
      <c r="G190" s="15">
        <v>0</v>
      </c>
      <c r="H190" s="15">
        <v>0</v>
      </c>
      <c r="I190" s="15">
        <v>0</v>
      </c>
      <c r="J190" s="20">
        <f>SUM(D190:I190)</f>
        <v>5781.1</v>
      </c>
      <c r="K190" s="8"/>
      <c r="L190" s="8"/>
    </row>
    <row r="191" spans="1:12" ht="15.75" thickBot="1">
      <c r="A191" s="8"/>
      <c r="B191" s="8"/>
      <c r="C191" s="8" t="s">
        <v>13</v>
      </c>
      <c r="D191" s="29">
        <f>72.72+19.37</f>
        <v>92.09</v>
      </c>
      <c r="E191" s="29">
        <v>2.27</v>
      </c>
      <c r="F191" s="28">
        <v>0.91</v>
      </c>
      <c r="G191" s="28">
        <v>0</v>
      </c>
      <c r="H191" s="28">
        <v>0</v>
      </c>
      <c r="I191" s="28">
        <v>0</v>
      </c>
      <c r="J191" s="29">
        <f>SUM(D191:I191)</f>
        <v>95.27</v>
      </c>
      <c r="K191" s="8"/>
      <c r="L191" s="8"/>
    </row>
    <row r="192" spans="1:12">
      <c r="A192" s="8"/>
      <c r="B192" s="8"/>
      <c r="C192" s="8"/>
      <c r="D192" s="20"/>
      <c r="E192" s="20"/>
      <c r="F192" s="15"/>
      <c r="G192" s="15"/>
      <c r="H192" s="15"/>
      <c r="I192" s="15"/>
      <c r="J192" s="20"/>
      <c r="K192" s="8"/>
      <c r="L192" s="8"/>
    </row>
    <row r="193" spans="1:12" ht="15.75" thickBot="1">
      <c r="A193" s="8"/>
      <c r="B193" s="8"/>
      <c r="C193" s="8" t="s">
        <v>10</v>
      </c>
      <c r="D193" s="31">
        <f t="shared" ref="D193:I193" si="29">SUM(D190:D191)</f>
        <v>5686.18</v>
      </c>
      <c r="E193" s="31">
        <f t="shared" si="29"/>
        <v>134.41</v>
      </c>
      <c r="F193" s="30">
        <f t="shared" si="29"/>
        <v>55.779999999999994</v>
      </c>
      <c r="G193" s="30">
        <f t="shared" si="29"/>
        <v>0</v>
      </c>
      <c r="H193" s="30">
        <f t="shared" si="29"/>
        <v>0</v>
      </c>
      <c r="I193" s="30">
        <f t="shared" si="29"/>
        <v>0</v>
      </c>
      <c r="J193" s="31">
        <f>SUM(D193:I193)</f>
        <v>5876.37</v>
      </c>
      <c r="K193" s="8"/>
      <c r="L193" s="8"/>
    </row>
    <row r="194" spans="1:12" ht="15.75" thickTop="1">
      <c r="A194" s="8"/>
      <c r="B194" s="8"/>
      <c r="C194" s="8"/>
      <c r="D194" s="20"/>
      <c r="E194" s="20"/>
      <c r="F194" s="15"/>
      <c r="G194" s="15"/>
      <c r="H194" s="15"/>
      <c r="I194" s="15"/>
      <c r="J194" s="20"/>
      <c r="K194" s="8"/>
      <c r="L194" s="8"/>
    </row>
    <row r="195" spans="1:12">
      <c r="A195" s="8"/>
      <c r="B195" s="8"/>
      <c r="C195" s="8"/>
      <c r="D195" s="20"/>
      <c r="E195" s="20"/>
      <c r="F195" s="15"/>
      <c r="G195" s="15"/>
      <c r="H195" s="15"/>
      <c r="I195" s="15"/>
      <c r="J195" s="20"/>
      <c r="K195" s="8"/>
      <c r="L195" s="8"/>
    </row>
    <row r="196" spans="1:12">
      <c r="A196" s="8">
        <v>51</v>
      </c>
      <c r="B196" s="8" t="s">
        <v>45</v>
      </c>
      <c r="C196" s="8" t="s">
        <v>12</v>
      </c>
      <c r="D196" s="20">
        <f>7375.06+2576.91</f>
        <v>9951.9700000000012</v>
      </c>
      <c r="E196" s="20">
        <v>0</v>
      </c>
      <c r="F196" s="15">
        <v>0</v>
      </c>
      <c r="G196" s="15">
        <v>0</v>
      </c>
      <c r="H196" s="15">
        <v>0</v>
      </c>
      <c r="I196" s="15">
        <v>0</v>
      </c>
      <c r="J196" s="20">
        <f>SUM(D196:I196)</f>
        <v>9951.9700000000012</v>
      </c>
      <c r="K196" s="8"/>
      <c r="L196" s="8"/>
    </row>
    <row r="197" spans="1:12" hidden="1">
      <c r="A197" s="8"/>
      <c r="B197" s="8"/>
      <c r="C197" s="8" t="s">
        <v>13</v>
      </c>
      <c r="D197" s="20"/>
      <c r="E197" s="20"/>
      <c r="F197" s="15"/>
      <c r="G197" s="15"/>
      <c r="H197" s="15"/>
      <c r="I197" s="15"/>
      <c r="J197" s="20">
        <f>SUM(D197:I197)</f>
        <v>0</v>
      </c>
      <c r="K197" s="8"/>
      <c r="L197" s="8"/>
    </row>
    <row r="198" spans="1:12" ht="15.75" thickBot="1">
      <c r="A198" s="8"/>
      <c r="B198" s="8"/>
      <c r="C198" s="8" t="s">
        <v>46</v>
      </c>
      <c r="D198" s="29">
        <v>0</v>
      </c>
      <c r="E198" s="29">
        <v>0</v>
      </c>
      <c r="F198" s="28">
        <v>0</v>
      </c>
      <c r="G198" s="28">
        <v>0</v>
      </c>
      <c r="H198" s="28">
        <v>0</v>
      </c>
      <c r="I198" s="28">
        <v>0</v>
      </c>
      <c r="J198" s="29">
        <f>SUM(D198:I198)</f>
        <v>0</v>
      </c>
      <c r="K198" s="8"/>
      <c r="L198" s="8"/>
    </row>
    <row r="199" spans="1:12">
      <c r="A199" s="8"/>
      <c r="B199" s="8"/>
      <c r="C199" s="8"/>
      <c r="D199" s="20"/>
      <c r="E199" s="20"/>
      <c r="F199" s="15"/>
      <c r="G199" s="15"/>
      <c r="H199" s="15"/>
      <c r="I199" s="15"/>
      <c r="J199" s="20"/>
      <c r="K199" s="8"/>
      <c r="L199" s="8"/>
    </row>
    <row r="200" spans="1:12" ht="15.75" thickBot="1">
      <c r="A200" s="8"/>
      <c r="B200" s="8"/>
      <c r="C200" s="8" t="s">
        <v>10</v>
      </c>
      <c r="D200" s="31">
        <f t="shared" ref="D200:I200" si="30">SUM(D196:D198)</f>
        <v>9951.9700000000012</v>
      </c>
      <c r="E200" s="31">
        <f t="shared" si="30"/>
        <v>0</v>
      </c>
      <c r="F200" s="30">
        <f t="shared" si="30"/>
        <v>0</v>
      </c>
      <c r="G200" s="30">
        <f t="shared" si="30"/>
        <v>0</v>
      </c>
      <c r="H200" s="30">
        <f t="shared" si="30"/>
        <v>0</v>
      </c>
      <c r="I200" s="30">
        <f t="shared" si="30"/>
        <v>0</v>
      </c>
      <c r="J200" s="31">
        <f>SUM(D200:I200)</f>
        <v>9951.9700000000012</v>
      </c>
      <c r="K200" s="8"/>
      <c r="L200" s="8"/>
    </row>
    <row r="201" spans="1:12" ht="15.75" thickTop="1">
      <c r="A201" s="8"/>
      <c r="B201" s="8"/>
      <c r="C201" s="8"/>
      <c r="D201" s="20"/>
      <c r="E201" s="20"/>
      <c r="F201" s="15"/>
      <c r="G201" s="15"/>
      <c r="H201" s="15"/>
      <c r="I201" s="15"/>
      <c r="J201" s="20"/>
      <c r="K201" s="8"/>
      <c r="L201" s="8"/>
    </row>
    <row r="202" spans="1:12">
      <c r="A202" s="8"/>
      <c r="B202" s="8"/>
      <c r="C202" s="8"/>
      <c r="D202" s="20"/>
      <c r="E202" s="20"/>
      <c r="F202" s="15"/>
      <c r="G202" s="15"/>
      <c r="H202" s="15"/>
      <c r="I202" s="15"/>
      <c r="J202" s="20"/>
      <c r="K202" s="8"/>
      <c r="L202" s="8"/>
    </row>
    <row r="203" spans="1:12">
      <c r="A203" s="8">
        <v>52</v>
      </c>
      <c r="B203" s="8" t="s">
        <v>47</v>
      </c>
      <c r="C203" s="8" t="s">
        <v>12</v>
      </c>
      <c r="D203" s="25">
        <f>8497.85+2492.79</f>
        <v>10990.64</v>
      </c>
      <c r="E203" s="45">
        <v>58.83</v>
      </c>
      <c r="F203" s="24">
        <v>41.2</v>
      </c>
      <c r="G203" s="24">
        <v>0</v>
      </c>
      <c r="H203" s="24">
        <v>0</v>
      </c>
      <c r="I203" s="24">
        <v>0</v>
      </c>
      <c r="J203" s="25">
        <f>SUM(D203:I203)</f>
        <v>11090.67</v>
      </c>
      <c r="K203" s="8"/>
      <c r="L203" s="8"/>
    </row>
    <row r="204" spans="1:12" ht="15.75" hidden="1" thickBot="1">
      <c r="A204" s="8"/>
      <c r="B204" s="8"/>
      <c r="C204" s="8" t="s">
        <v>13</v>
      </c>
      <c r="D204" s="29"/>
      <c r="E204" s="34"/>
      <c r="F204" s="28"/>
      <c r="G204" s="28"/>
      <c r="H204" s="28"/>
      <c r="I204" s="28"/>
      <c r="J204" s="34">
        <v>0</v>
      </c>
      <c r="K204" s="8"/>
      <c r="L204" s="8"/>
    </row>
    <row r="205" spans="1:12">
      <c r="A205" s="8"/>
      <c r="B205" s="8"/>
      <c r="C205" s="8"/>
      <c r="D205" s="20"/>
      <c r="E205" s="35"/>
      <c r="F205" s="15"/>
      <c r="G205" s="15"/>
      <c r="H205" s="15"/>
      <c r="I205" s="15"/>
      <c r="J205" s="20"/>
      <c r="K205" s="8"/>
      <c r="L205" s="8"/>
    </row>
    <row r="206" spans="1:12" ht="15.75" thickBot="1">
      <c r="A206" s="8"/>
      <c r="B206" s="8"/>
      <c r="C206" s="8" t="s">
        <v>10</v>
      </c>
      <c r="D206" s="31">
        <f t="shared" ref="D206:I206" si="31">SUM(D203:D204)</f>
        <v>10990.64</v>
      </c>
      <c r="E206" s="44">
        <f t="shared" si="31"/>
        <v>58.83</v>
      </c>
      <c r="F206" s="30">
        <f t="shared" si="31"/>
        <v>41.2</v>
      </c>
      <c r="G206" s="30">
        <f t="shared" si="31"/>
        <v>0</v>
      </c>
      <c r="H206" s="30">
        <f t="shared" si="31"/>
        <v>0</v>
      </c>
      <c r="I206" s="30">
        <f t="shared" si="31"/>
        <v>0</v>
      </c>
      <c r="J206" s="31">
        <f>SUM(D206:I206)</f>
        <v>11090.67</v>
      </c>
      <c r="K206" s="8"/>
      <c r="L206" s="8"/>
    </row>
    <row r="207" spans="1:12" ht="15.75" thickTop="1">
      <c r="A207" s="8"/>
      <c r="B207" s="8"/>
      <c r="C207" s="8"/>
      <c r="D207" s="20"/>
      <c r="E207" s="20"/>
      <c r="F207" s="15"/>
      <c r="G207" s="15"/>
      <c r="H207" s="15"/>
      <c r="I207" s="15"/>
      <c r="J207" s="20"/>
      <c r="K207" s="8"/>
      <c r="L207" s="8"/>
    </row>
    <row r="208" spans="1:12">
      <c r="A208" s="8"/>
      <c r="B208" s="8"/>
      <c r="C208" s="8"/>
      <c r="D208" s="20"/>
      <c r="E208" s="20"/>
      <c r="F208" s="15"/>
      <c r="G208" s="15"/>
      <c r="H208" s="15"/>
      <c r="I208" s="15"/>
      <c r="J208" s="20"/>
      <c r="K208" s="8"/>
      <c r="L208" s="8"/>
    </row>
    <row r="209" spans="1:12">
      <c r="A209" s="8">
        <v>53</v>
      </c>
      <c r="B209" s="8" t="s">
        <v>48</v>
      </c>
      <c r="C209" s="8" t="s">
        <v>12</v>
      </c>
      <c r="D209" s="20">
        <f>21705.02+5091.1</f>
        <v>26796.120000000003</v>
      </c>
      <c r="E209" s="20">
        <v>187.15</v>
      </c>
      <c r="F209" s="15">
        <v>0</v>
      </c>
      <c r="G209" s="15">
        <v>0</v>
      </c>
      <c r="H209" s="15">
        <v>0</v>
      </c>
      <c r="I209" s="15">
        <v>0</v>
      </c>
      <c r="J209" s="20">
        <f>SUM(D209:I209)</f>
        <v>26983.270000000004</v>
      </c>
      <c r="K209" s="8"/>
      <c r="L209" s="8"/>
    </row>
    <row r="210" spans="1:12">
      <c r="A210" s="8"/>
      <c r="B210" s="8"/>
      <c r="C210" s="8" t="s">
        <v>35</v>
      </c>
      <c r="D210" s="20">
        <v>0</v>
      </c>
      <c r="E210" s="20">
        <v>10.4</v>
      </c>
      <c r="F210" s="15">
        <v>0</v>
      </c>
      <c r="G210" s="15">
        <v>0</v>
      </c>
      <c r="H210" s="15">
        <v>0</v>
      </c>
      <c r="I210" s="15">
        <v>0</v>
      </c>
      <c r="J210" s="20">
        <f>SUM(D210:I210)</f>
        <v>10.4</v>
      </c>
      <c r="K210" s="8"/>
      <c r="L210" s="8"/>
    </row>
    <row r="211" spans="1:12">
      <c r="A211" s="8"/>
      <c r="B211" s="8"/>
      <c r="C211" s="8" t="s">
        <v>97</v>
      </c>
      <c r="D211" s="20">
        <v>0</v>
      </c>
      <c r="E211" s="20">
        <v>2.91</v>
      </c>
      <c r="F211" s="15">
        <v>0</v>
      </c>
      <c r="G211" s="15">
        <v>0</v>
      </c>
      <c r="H211" s="15">
        <v>0</v>
      </c>
      <c r="I211" s="15">
        <v>0</v>
      </c>
      <c r="J211" s="20">
        <f>SUM(D211:I211)</f>
        <v>2.91</v>
      </c>
      <c r="K211" s="8"/>
      <c r="L211" s="8"/>
    </row>
    <row r="212" spans="1:12" ht="15.75" thickBot="1">
      <c r="A212" s="8"/>
      <c r="B212" s="8"/>
      <c r="C212" s="8" t="s">
        <v>98</v>
      </c>
      <c r="D212" s="29">
        <v>0</v>
      </c>
      <c r="E212" s="29">
        <v>31.19</v>
      </c>
      <c r="F212" s="28">
        <v>0</v>
      </c>
      <c r="G212" s="28">
        <v>0</v>
      </c>
      <c r="H212" s="28">
        <v>0</v>
      </c>
      <c r="I212" s="28">
        <v>0</v>
      </c>
      <c r="J212" s="29">
        <f>SUM(D212:I212)</f>
        <v>31.19</v>
      </c>
      <c r="K212" s="8"/>
      <c r="L212" s="8"/>
    </row>
    <row r="213" spans="1:12">
      <c r="A213" s="8"/>
      <c r="B213" s="8"/>
      <c r="C213" s="8"/>
      <c r="D213" s="20"/>
      <c r="E213" s="20"/>
      <c r="F213" s="15"/>
      <c r="G213" s="15"/>
      <c r="H213" s="15"/>
      <c r="I213" s="15"/>
      <c r="J213" s="20"/>
      <c r="K213" s="8"/>
      <c r="L213" s="8"/>
    </row>
    <row r="214" spans="1:12" ht="15.75" thickBot="1">
      <c r="A214" s="8"/>
      <c r="B214" s="8"/>
      <c r="C214" s="8" t="s">
        <v>10</v>
      </c>
      <c r="D214" s="31">
        <f>SUM(D209:D213)</f>
        <v>26796.120000000003</v>
      </c>
      <c r="E214" s="31">
        <f t="shared" ref="E214:J214" si="32">SUM(E209:E213)</f>
        <v>231.65</v>
      </c>
      <c r="F214" s="30">
        <f t="shared" si="32"/>
        <v>0</v>
      </c>
      <c r="G214" s="30">
        <f t="shared" si="32"/>
        <v>0</v>
      </c>
      <c r="H214" s="30">
        <f t="shared" si="32"/>
        <v>0</v>
      </c>
      <c r="I214" s="30">
        <f t="shared" si="32"/>
        <v>0</v>
      </c>
      <c r="J214" s="30">
        <f t="shared" si="32"/>
        <v>27027.770000000004</v>
      </c>
      <c r="K214" s="8"/>
      <c r="L214" s="8"/>
    </row>
    <row r="215" spans="1:12" ht="15.75" thickTop="1">
      <c r="A215" s="8"/>
      <c r="B215" s="8"/>
      <c r="C215" s="8"/>
      <c r="D215" s="20"/>
      <c r="E215" s="20"/>
      <c r="F215" s="15"/>
      <c r="G215" s="15"/>
      <c r="H215" s="15"/>
      <c r="I215" s="15"/>
      <c r="J215" s="20"/>
      <c r="K215" s="8"/>
      <c r="L215" s="8"/>
    </row>
    <row r="216" spans="1:12">
      <c r="A216" s="8"/>
      <c r="B216" s="8"/>
      <c r="C216" s="8"/>
      <c r="D216" s="20"/>
      <c r="E216" s="20"/>
      <c r="F216" s="15"/>
      <c r="G216" s="15"/>
      <c r="H216" s="15"/>
      <c r="I216" s="15"/>
      <c r="J216" s="20"/>
      <c r="K216" s="8"/>
      <c r="L216" s="8"/>
    </row>
    <row r="217" spans="1:12">
      <c r="A217" s="8">
        <v>54</v>
      </c>
      <c r="B217" s="8" t="s">
        <v>49</v>
      </c>
      <c r="C217" s="8" t="s">
        <v>12</v>
      </c>
      <c r="D217" s="25">
        <f>6661.39+1624</f>
        <v>8285.39</v>
      </c>
      <c r="E217" s="45">
        <v>0</v>
      </c>
      <c r="F217" s="24">
        <v>0</v>
      </c>
      <c r="G217" s="24">
        <v>0</v>
      </c>
      <c r="H217" s="24">
        <v>0</v>
      </c>
      <c r="I217" s="24">
        <v>0</v>
      </c>
      <c r="J217" s="25">
        <f>SUM(D217:I217)</f>
        <v>8285.39</v>
      </c>
      <c r="K217" s="8"/>
      <c r="L217" s="8"/>
    </row>
    <row r="218" spans="1:12" ht="15.75" hidden="1" thickBot="1">
      <c r="A218" s="8"/>
      <c r="B218" s="8"/>
      <c r="C218" s="8" t="s">
        <v>104</v>
      </c>
      <c r="D218" s="29"/>
      <c r="E218" s="34"/>
      <c r="F218" s="28"/>
      <c r="G218" s="28"/>
      <c r="H218" s="28"/>
      <c r="I218" s="28"/>
      <c r="J218" s="29">
        <f>SUM(D218:I218)</f>
        <v>0</v>
      </c>
      <c r="K218" s="8"/>
      <c r="L218" s="8"/>
    </row>
    <row r="219" spans="1:12">
      <c r="A219" s="8"/>
      <c r="B219" s="8"/>
      <c r="C219" s="8"/>
      <c r="D219" s="20"/>
      <c r="E219" s="35"/>
      <c r="F219" s="15"/>
      <c r="G219" s="15"/>
      <c r="H219" s="15"/>
      <c r="I219" s="15"/>
      <c r="J219" s="20"/>
      <c r="K219" s="8"/>
      <c r="L219" s="8"/>
    </row>
    <row r="220" spans="1:12" ht="15.75" thickBot="1">
      <c r="A220" s="8"/>
      <c r="B220" s="8"/>
      <c r="C220" s="8" t="s">
        <v>10</v>
      </c>
      <c r="D220" s="31">
        <f t="shared" ref="D220:I220" si="33">SUM(D217:D219)</f>
        <v>8285.39</v>
      </c>
      <c r="E220" s="44">
        <f t="shared" si="33"/>
        <v>0</v>
      </c>
      <c r="F220" s="30">
        <f t="shared" si="33"/>
        <v>0</v>
      </c>
      <c r="G220" s="30">
        <f t="shared" si="33"/>
        <v>0</v>
      </c>
      <c r="H220" s="30">
        <f t="shared" si="33"/>
        <v>0</v>
      </c>
      <c r="I220" s="30">
        <f t="shared" si="33"/>
        <v>0</v>
      </c>
      <c r="J220" s="31">
        <f>SUM(D220:I220)</f>
        <v>8285.39</v>
      </c>
      <c r="K220" s="8"/>
      <c r="L220" s="8"/>
    </row>
    <row r="221" spans="1:12" ht="15.75" thickTop="1">
      <c r="A221" s="8"/>
      <c r="B221" s="8"/>
      <c r="C221" s="8"/>
      <c r="D221" s="20"/>
      <c r="E221" s="20"/>
      <c r="F221" s="15"/>
      <c r="G221" s="15"/>
      <c r="H221" s="15"/>
      <c r="I221" s="15"/>
      <c r="J221" s="20"/>
      <c r="K221" s="8"/>
      <c r="L221" s="8"/>
    </row>
    <row r="222" spans="1:12">
      <c r="A222" s="8"/>
      <c r="B222" s="8"/>
      <c r="C222" s="8"/>
      <c r="D222" s="20"/>
      <c r="E222" s="20"/>
      <c r="F222" s="15"/>
      <c r="G222" s="15"/>
      <c r="H222" s="15"/>
      <c r="I222" s="15"/>
      <c r="J222" s="20"/>
      <c r="K222" s="8"/>
      <c r="L222" s="8"/>
    </row>
    <row r="223" spans="1:12">
      <c r="A223" s="8">
        <v>55</v>
      </c>
      <c r="B223" s="8" t="s">
        <v>50</v>
      </c>
      <c r="C223" s="8" t="s">
        <v>12</v>
      </c>
      <c r="D223" s="20">
        <f>39948.49+10370.9</f>
        <v>50319.39</v>
      </c>
      <c r="E223" s="20">
        <v>310.64999999999998</v>
      </c>
      <c r="F223" s="15">
        <v>11.63</v>
      </c>
      <c r="G223" s="15">
        <v>0</v>
      </c>
      <c r="H223" s="15">
        <v>0</v>
      </c>
      <c r="I223" s="15">
        <v>0</v>
      </c>
      <c r="J223" s="20">
        <f>SUM(D223:I223)</f>
        <v>50641.67</v>
      </c>
      <c r="K223" s="8"/>
      <c r="L223" s="8"/>
    </row>
    <row r="224" spans="1:12" ht="15.75" thickBot="1">
      <c r="A224" s="8"/>
      <c r="B224" s="8"/>
      <c r="C224" s="8" t="s">
        <v>13</v>
      </c>
      <c r="D224" s="29">
        <f>510.45+132.52</f>
        <v>642.97</v>
      </c>
      <c r="E224" s="29">
        <v>8.2799999999999994</v>
      </c>
      <c r="F224" s="28">
        <v>0.34</v>
      </c>
      <c r="G224" s="28">
        <v>0</v>
      </c>
      <c r="H224" s="28">
        <v>0</v>
      </c>
      <c r="I224" s="28">
        <v>0</v>
      </c>
      <c r="J224" s="29">
        <f>SUM(D224:I224)</f>
        <v>651.59</v>
      </c>
      <c r="K224" s="8"/>
      <c r="L224" s="8"/>
    </row>
    <row r="225" spans="1:12">
      <c r="A225" s="8"/>
      <c r="B225" s="8"/>
      <c r="C225" s="8"/>
      <c r="D225" s="20"/>
      <c r="E225" s="20"/>
      <c r="F225" s="15"/>
      <c r="G225" s="15"/>
      <c r="H225" s="15"/>
      <c r="I225" s="15"/>
      <c r="J225" s="20"/>
      <c r="K225" s="8"/>
      <c r="L225" s="8"/>
    </row>
    <row r="226" spans="1:12" ht="15.75" thickBot="1">
      <c r="A226" s="8"/>
      <c r="B226" s="8"/>
      <c r="C226" s="8" t="s">
        <v>10</v>
      </c>
      <c r="D226" s="31">
        <f t="shared" ref="D226:I226" si="34">SUM(D223:D224)</f>
        <v>50962.36</v>
      </c>
      <c r="E226" s="31">
        <f t="shared" si="34"/>
        <v>318.92999999999995</v>
      </c>
      <c r="F226" s="30">
        <f t="shared" si="34"/>
        <v>11.97</v>
      </c>
      <c r="G226" s="30">
        <f t="shared" si="34"/>
        <v>0</v>
      </c>
      <c r="H226" s="30">
        <f t="shared" si="34"/>
        <v>0</v>
      </c>
      <c r="I226" s="30">
        <f t="shared" si="34"/>
        <v>0</v>
      </c>
      <c r="J226" s="31">
        <f>SUM(D226:I226)</f>
        <v>51293.26</v>
      </c>
      <c r="K226" s="8"/>
      <c r="L226" s="8"/>
    </row>
    <row r="227" spans="1:12" ht="15.75" thickTop="1">
      <c r="A227" s="8"/>
      <c r="B227" s="8"/>
      <c r="C227" s="8"/>
      <c r="D227" s="20"/>
      <c r="E227" s="20"/>
      <c r="F227" s="15"/>
      <c r="G227" s="15"/>
      <c r="H227" s="15"/>
      <c r="I227" s="15"/>
      <c r="J227" s="20"/>
      <c r="K227" s="8"/>
      <c r="L227" s="8"/>
    </row>
    <row r="228" spans="1:12">
      <c r="A228" s="8"/>
      <c r="B228" s="8"/>
      <c r="C228" s="8"/>
      <c r="D228" s="20"/>
      <c r="E228" s="20"/>
      <c r="F228" s="15"/>
      <c r="G228" s="15"/>
      <c r="H228" s="15"/>
      <c r="I228" s="15"/>
      <c r="J228" s="20"/>
      <c r="K228" s="8"/>
      <c r="L228" s="8"/>
    </row>
    <row r="229" spans="1:12">
      <c r="A229" s="8">
        <v>56</v>
      </c>
      <c r="B229" s="8" t="s">
        <v>51</v>
      </c>
      <c r="C229" s="8" t="s">
        <v>12</v>
      </c>
      <c r="D229" s="20">
        <f>8480.45+1739.68</f>
        <v>10220.130000000001</v>
      </c>
      <c r="E229" s="35">
        <v>79.23</v>
      </c>
      <c r="F229" s="15">
        <v>44.15</v>
      </c>
      <c r="G229" s="15">
        <v>0</v>
      </c>
      <c r="H229" s="15">
        <v>0</v>
      </c>
      <c r="I229" s="15">
        <v>0</v>
      </c>
      <c r="J229" s="20">
        <f>SUM(D229:I229)</f>
        <v>10343.51</v>
      </c>
      <c r="K229" s="8"/>
      <c r="L229" s="8"/>
    </row>
    <row r="230" spans="1:12" ht="15.75" thickBot="1">
      <c r="A230" s="8"/>
      <c r="B230" s="8"/>
      <c r="C230" s="8" t="s">
        <v>13</v>
      </c>
      <c r="D230" s="29">
        <f>124.23+25.48</f>
        <v>149.71</v>
      </c>
      <c r="E230" s="34">
        <v>1.24</v>
      </c>
      <c r="F230" s="28">
        <v>0.68</v>
      </c>
      <c r="G230" s="28">
        <v>0</v>
      </c>
      <c r="H230" s="28">
        <v>0</v>
      </c>
      <c r="I230" s="28">
        <v>0</v>
      </c>
      <c r="J230" s="29">
        <f>SUM(D230:I230)</f>
        <v>151.63000000000002</v>
      </c>
      <c r="K230" s="8"/>
      <c r="L230" s="8"/>
    </row>
    <row r="231" spans="1:12">
      <c r="A231" s="8"/>
      <c r="B231" s="8"/>
      <c r="C231" s="8"/>
      <c r="D231" s="20"/>
      <c r="E231" s="35"/>
      <c r="F231" s="15"/>
      <c r="G231" s="15"/>
      <c r="H231" s="15"/>
      <c r="I231" s="15"/>
      <c r="J231" s="20"/>
      <c r="K231" s="8"/>
      <c r="L231" s="8"/>
    </row>
    <row r="232" spans="1:12" ht="15.75" thickBot="1">
      <c r="A232" s="8"/>
      <c r="B232" s="8"/>
      <c r="C232" s="8" t="s">
        <v>10</v>
      </c>
      <c r="D232" s="31">
        <f t="shared" ref="D232:I232" si="35">SUM(D229:D230)</f>
        <v>10369.84</v>
      </c>
      <c r="E232" s="44">
        <f t="shared" si="35"/>
        <v>80.47</v>
      </c>
      <c r="F232" s="30">
        <f t="shared" si="35"/>
        <v>44.83</v>
      </c>
      <c r="G232" s="30">
        <f t="shared" si="35"/>
        <v>0</v>
      </c>
      <c r="H232" s="30">
        <f t="shared" si="35"/>
        <v>0</v>
      </c>
      <c r="I232" s="30">
        <f t="shared" si="35"/>
        <v>0</v>
      </c>
      <c r="J232" s="31">
        <f>SUM(D232:I232)</f>
        <v>10495.14</v>
      </c>
      <c r="K232" s="8"/>
      <c r="L232" s="8"/>
    </row>
    <row r="233" spans="1:12" ht="15.75" thickTop="1">
      <c r="A233" s="8"/>
      <c r="B233" s="8"/>
      <c r="C233" s="8"/>
      <c r="D233" s="20"/>
      <c r="E233" s="20"/>
      <c r="F233" s="15"/>
      <c r="G233" s="15"/>
      <c r="H233" s="15"/>
      <c r="I233" s="15"/>
      <c r="J233" s="20"/>
      <c r="K233" s="8"/>
      <c r="L233" s="8"/>
    </row>
    <row r="234" spans="1:12">
      <c r="A234" s="8"/>
      <c r="B234" s="8"/>
      <c r="C234" s="8"/>
      <c r="D234" s="20"/>
      <c r="E234" s="20"/>
      <c r="F234" s="15"/>
      <c r="G234" s="15"/>
      <c r="H234" s="15"/>
      <c r="I234" s="15"/>
      <c r="J234" s="20"/>
      <c r="K234" s="8"/>
      <c r="L234" s="8"/>
    </row>
    <row r="235" spans="1:12">
      <c r="A235" s="8">
        <v>57</v>
      </c>
      <c r="B235" s="8" t="s">
        <v>52</v>
      </c>
      <c r="C235" s="8" t="s">
        <v>12</v>
      </c>
      <c r="D235" s="20">
        <f>27872.95+6423.03</f>
        <v>34295.980000000003</v>
      </c>
      <c r="E235" s="20">
        <v>385.63</v>
      </c>
      <c r="F235" s="15">
        <v>29.17</v>
      </c>
      <c r="G235" s="15">
        <v>0</v>
      </c>
      <c r="H235" s="15">
        <v>0</v>
      </c>
      <c r="I235" s="15">
        <v>0</v>
      </c>
      <c r="J235" s="20">
        <f>SUM(D235:I235)</f>
        <v>34710.78</v>
      </c>
      <c r="K235" s="8"/>
      <c r="L235" s="8"/>
    </row>
    <row r="236" spans="1:12">
      <c r="A236" s="8"/>
      <c r="B236" s="8"/>
      <c r="C236" s="38" t="s">
        <v>13</v>
      </c>
      <c r="D236" s="20">
        <f>712.31+164.14</f>
        <v>876.44999999999993</v>
      </c>
      <c r="E236" s="20">
        <v>10.28</v>
      </c>
      <c r="F236" s="15">
        <v>0.86</v>
      </c>
      <c r="G236" s="15">
        <v>0</v>
      </c>
      <c r="H236" s="15">
        <v>0</v>
      </c>
      <c r="I236" s="15">
        <v>0</v>
      </c>
      <c r="J236" s="20">
        <f t="shared" ref="J236:J237" si="36">SUM(D236:I236)</f>
        <v>887.58999999999992</v>
      </c>
      <c r="K236" s="8"/>
      <c r="L236" s="8"/>
    </row>
    <row r="237" spans="1:12">
      <c r="A237" s="8"/>
      <c r="B237" s="8"/>
      <c r="C237" s="38" t="s">
        <v>112</v>
      </c>
      <c r="D237" s="20">
        <v>0</v>
      </c>
      <c r="E237" s="35">
        <v>11.14</v>
      </c>
      <c r="F237" s="15">
        <v>1.3</v>
      </c>
      <c r="G237" s="15">
        <v>0</v>
      </c>
      <c r="H237" s="15">
        <v>0</v>
      </c>
      <c r="I237" s="15">
        <v>0</v>
      </c>
      <c r="J237" s="20">
        <f t="shared" si="36"/>
        <v>12.440000000000001</v>
      </c>
      <c r="K237" s="8"/>
      <c r="L237" s="8"/>
    </row>
    <row r="238" spans="1:12" ht="15.75" thickBot="1">
      <c r="A238" s="8"/>
      <c r="B238" s="8"/>
      <c r="C238" s="38" t="s">
        <v>109</v>
      </c>
      <c r="D238" s="29">
        <v>0</v>
      </c>
      <c r="E238" s="34">
        <v>0</v>
      </c>
      <c r="F238" s="28">
        <v>0</v>
      </c>
      <c r="G238" s="28">
        <v>0</v>
      </c>
      <c r="H238" s="28">
        <v>0</v>
      </c>
      <c r="I238" s="28">
        <v>0</v>
      </c>
      <c r="J238" s="29">
        <f>SUM(D238:I238)</f>
        <v>0</v>
      </c>
      <c r="K238" s="8"/>
      <c r="L238" s="8"/>
    </row>
    <row r="239" spans="1:12">
      <c r="A239" s="8"/>
      <c r="B239" s="8"/>
      <c r="C239" s="8"/>
      <c r="D239" s="20"/>
      <c r="E239" s="20"/>
      <c r="F239" s="15"/>
      <c r="G239" s="15"/>
      <c r="H239" s="15"/>
      <c r="I239" s="15"/>
      <c r="J239" s="20"/>
      <c r="K239" s="8"/>
      <c r="L239" s="8"/>
    </row>
    <row r="240" spans="1:12" ht="15.75" thickBot="1">
      <c r="A240" s="8"/>
      <c r="B240" s="8"/>
      <c r="C240" s="8" t="s">
        <v>10</v>
      </c>
      <c r="D240" s="31">
        <f t="shared" ref="D240:I240" si="37">SUM(D235:D238)</f>
        <v>35172.43</v>
      </c>
      <c r="E240" s="31">
        <f t="shared" si="37"/>
        <v>407.04999999999995</v>
      </c>
      <c r="F240" s="30">
        <f t="shared" si="37"/>
        <v>31.330000000000002</v>
      </c>
      <c r="G240" s="30">
        <f t="shared" si="37"/>
        <v>0</v>
      </c>
      <c r="H240" s="30">
        <f t="shared" si="37"/>
        <v>0</v>
      </c>
      <c r="I240" s="30">
        <f t="shared" si="37"/>
        <v>0</v>
      </c>
      <c r="J240" s="31">
        <f>SUM(D240:I240)</f>
        <v>35610.810000000005</v>
      </c>
      <c r="K240" s="8"/>
      <c r="L240" s="8"/>
    </row>
    <row r="241" spans="1:12" ht="15.75" thickTop="1">
      <c r="A241" s="8"/>
      <c r="B241" s="8"/>
      <c r="C241" s="8"/>
      <c r="D241" s="20"/>
      <c r="E241" s="20"/>
      <c r="F241" s="15"/>
      <c r="G241" s="15"/>
      <c r="H241" s="15"/>
      <c r="I241" s="15"/>
      <c r="J241" s="20"/>
      <c r="K241" s="8"/>
      <c r="L241" s="8"/>
    </row>
    <row r="242" spans="1:12">
      <c r="A242" s="8"/>
      <c r="B242" s="8"/>
      <c r="C242" s="8"/>
      <c r="D242" s="20"/>
      <c r="E242" s="20"/>
      <c r="F242" s="15"/>
      <c r="G242" s="15"/>
      <c r="H242" s="15"/>
      <c r="I242" s="15"/>
      <c r="J242" s="20"/>
      <c r="K242" s="8"/>
      <c r="L242" s="8"/>
    </row>
    <row r="243" spans="1:12">
      <c r="A243" s="8">
        <v>58</v>
      </c>
      <c r="B243" s="8" t="s">
        <v>53</v>
      </c>
      <c r="C243" s="8" t="s">
        <v>12</v>
      </c>
      <c r="D243" s="20">
        <f>8555.2+2160.7</f>
        <v>10715.900000000001</v>
      </c>
      <c r="E243" s="35">
        <v>0</v>
      </c>
      <c r="F243" s="15">
        <v>0</v>
      </c>
      <c r="G243" s="15">
        <v>0</v>
      </c>
      <c r="H243" s="15">
        <v>0</v>
      </c>
      <c r="I243" s="15">
        <v>0</v>
      </c>
      <c r="J243" s="20">
        <f>SUM(D243:I243)</f>
        <v>10715.900000000001</v>
      </c>
      <c r="K243" s="8"/>
      <c r="L243" s="8"/>
    </row>
    <row r="244" spans="1:12" ht="15.75" thickBot="1">
      <c r="A244" s="8"/>
      <c r="B244" s="8"/>
      <c r="C244" s="38" t="s">
        <v>116</v>
      </c>
      <c r="D244" s="29">
        <f>24391.54+6160.33</f>
        <v>30551.870000000003</v>
      </c>
      <c r="E244" s="34">
        <v>0</v>
      </c>
      <c r="F244" s="28"/>
      <c r="G244" s="28"/>
      <c r="H244" s="28"/>
      <c r="I244" s="28"/>
      <c r="J244" s="34">
        <v>0</v>
      </c>
      <c r="K244" s="8"/>
      <c r="L244" s="8"/>
    </row>
    <row r="245" spans="1:12">
      <c r="A245" s="8"/>
      <c r="B245" s="8"/>
      <c r="C245" s="8"/>
      <c r="D245" s="20"/>
      <c r="E245" s="35"/>
      <c r="F245" s="15"/>
      <c r="G245" s="15"/>
      <c r="H245" s="15"/>
      <c r="I245" s="15"/>
      <c r="J245" s="20"/>
      <c r="K245" s="8"/>
      <c r="L245" s="8"/>
    </row>
    <row r="246" spans="1:12" ht="15.75" thickBot="1">
      <c r="A246" s="8"/>
      <c r="B246" s="8"/>
      <c r="C246" s="8" t="s">
        <v>10</v>
      </c>
      <c r="D246" s="31">
        <f t="shared" ref="D246:I246" si="38">SUM(D243:D244)</f>
        <v>41267.770000000004</v>
      </c>
      <c r="E246" s="44">
        <f t="shared" si="38"/>
        <v>0</v>
      </c>
      <c r="F246" s="30">
        <f t="shared" si="38"/>
        <v>0</v>
      </c>
      <c r="G246" s="30">
        <f t="shared" si="38"/>
        <v>0</v>
      </c>
      <c r="H246" s="30">
        <f t="shared" si="38"/>
        <v>0</v>
      </c>
      <c r="I246" s="30">
        <f t="shared" si="38"/>
        <v>0</v>
      </c>
      <c r="J246" s="31">
        <f>SUM(D246:I246)</f>
        <v>41267.770000000004</v>
      </c>
      <c r="K246" s="8"/>
      <c r="L246" s="8"/>
    </row>
    <row r="247" spans="1:12" ht="15.75" thickTop="1">
      <c r="A247" s="8"/>
      <c r="B247" s="8"/>
      <c r="C247" s="8"/>
      <c r="D247" s="20"/>
      <c r="E247" s="20"/>
      <c r="F247" s="15"/>
      <c r="G247" s="15"/>
      <c r="H247" s="15"/>
      <c r="I247" s="15"/>
      <c r="J247" s="20"/>
      <c r="K247" s="8"/>
      <c r="L247" s="8"/>
    </row>
    <row r="248" spans="1:12">
      <c r="A248" s="8"/>
      <c r="B248" s="8"/>
      <c r="C248" s="8"/>
      <c r="D248" s="20"/>
      <c r="E248" s="20"/>
      <c r="F248" s="15"/>
      <c r="G248" s="15"/>
      <c r="H248" s="15"/>
      <c r="I248" s="15"/>
      <c r="J248" s="20"/>
      <c r="K248" s="8"/>
      <c r="L248" s="8"/>
    </row>
    <row r="249" spans="1:12">
      <c r="A249" s="8">
        <v>59</v>
      </c>
      <c r="B249" s="8" t="s">
        <v>54</v>
      </c>
      <c r="C249" s="8" t="s">
        <v>12</v>
      </c>
      <c r="D249" s="20">
        <f>18092.34+4918.23</f>
        <v>23010.57</v>
      </c>
      <c r="E249" s="20">
        <v>170.79</v>
      </c>
      <c r="F249" s="15">
        <v>50.75</v>
      </c>
      <c r="G249" s="15">
        <v>0</v>
      </c>
      <c r="H249" s="15">
        <v>0</v>
      </c>
      <c r="I249" s="15">
        <v>0</v>
      </c>
      <c r="J249" s="20">
        <f>SUM(D249:I249)</f>
        <v>23232.11</v>
      </c>
      <c r="K249" s="8"/>
      <c r="L249" s="8"/>
    </row>
    <row r="250" spans="1:12" ht="15.75" thickBot="1">
      <c r="A250" s="8"/>
      <c r="B250" s="8"/>
      <c r="C250" s="8" t="s">
        <v>35</v>
      </c>
      <c r="D250" s="29">
        <v>0</v>
      </c>
      <c r="E250" s="29">
        <v>10.050000000000001</v>
      </c>
      <c r="F250" s="28">
        <v>2.86</v>
      </c>
      <c r="G250" s="28">
        <v>0</v>
      </c>
      <c r="H250" s="28">
        <v>0</v>
      </c>
      <c r="I250" s="28">
        <v>0</v>
      </c>
      <c r="J250" s="29">
        <f>SUM(D250:I250)</f>
        <v>12.91</v>
      </c>
      <c r="K250" s="8"/>
      <c r="L250" s="8"/>
    </row>
    <row r="251" spans="1:12">
      <c r="A251" s="8"/>
      <c r="B251" s="8"/>
      <c r="C251" s="8"/>
      <c r="D251" s="20"/>
      <c r="E251" s="20"/>
      <c r="F251" s="15"/>
      <c r="G251" s="15"/>
      <c r="H251" s="15"/>
      <c r="I251" s="15"/>
      <c r="J251" s="20"/>
      <c r="K251" s="8"/>
      <c r="L251" s="8"/>
    </row>
    <row r="252" spans="1:12" ht="15.75" thickBot="1">
      <c r="A252" s="8"/>
      <c r="B252" s="8"/>
      <c r="C252" s="8" t="s">
        <v>10</v>
      </c>
      <c r="D252" s="31">
        <f t="shared" ref="D252:I252" si="39">SUM(D249:D250)</f>
        <v>23010.57</v>
      </c>
      <c r="E252" s="31">
        <f t="shared" si="39"/>
        <v>180.84</v>
      </c>
      <c r="F252" s="30">
        <f t="shared" si="39"/>
        <v>53.61</v>
      </c>
      <c r="G252" s="30">
        <f t="shared" si="39"/>
        <v>0</v>
      </c>
      <c r="H252" s="30">
        <f t="shared" si="39"/>
        <v>0</v>
      </c>
      <c r="I252" s="30">
        <f t="shared" si="39"/>
        <v>0</v>
      </c>
      <c r="J252" s="31">
        <f>SUM(D252:I252)</f>
        <v>23245.02</v>
      </c>
      <c r="K252" s="8"/>
      <c r="L252" s="8"/>
    </row>
    <row r="253" spans="1:12" ht="15.75" thickTop="1">
      <c r="A253" s="8"/>
      <c r="B253" s="8"/>
      <c r="C253" s="8"/>
      <c r="D253" s="20"/>
      <c r="E253" s="20"/>
      <c r="F253" s="15"/>
      <c r="G253" s="15"/>
      <c r="H253" s="15"/>
      <c r="I253" s="15"/>
      <c r="J253" s="20"/>
      <c r="K253" s="8"/>
      <c r="L253" s="8"/>
    </row>
    <row r="254" spans="1:12">
      <c r="A254" s="8"/>
      <c r="B254" s="8"/>
      <c r="C254" s="8"/>
      <c r="D254" s="20"/>
      <c r="E254" s="20"/>
      <c r="F254" s="15"/>
      <c r="G254" s="15"/>
      <c r="H254" s="15"/>
      <c r="I254" s="15"/>
      <c r="J254" s="20"/>
      <c r="K254" s="8"/>
      <c r="L254" s="8"/>
    </row>
    <row r="255" spans="1:12">
      <c r="A255" s="8">
        <v>60</v>
      </c>
      <c r="B255" s="8" t="s">
        <v>55</v>
      </c>
      <c r="C255" s="8" t="s">
        <v>12</v>
      </c>
      <c r="D255" s="20">
        <f>61847.37+14151.88</f>
        <v>75999.25</v>
      </c>
      <c r="E255" s="20">
        <v>1111.8800000000001</v>
      </c>
      <c r="F255" s="15">
        <v>65.25</v>
      </c>
      <c r="G255" s="15">
        <v>0</v>
      </c>
      <c r="H255" s="15">
        <v>0</v>
      </c>
      <c r="I255" s="15">
        <v>0</v>
      </c>
      <c r="J255" s="20">
        <f>SUM(D255:I255)</f>
        <v>77176.38</v>
      </c>
      <c r="K255" s="8"/>
      <c r="L255" s="8"/>
    </row>
    <row r="256" spans="1:12">
      <c r="A256" s="8"/>
      <c r="B256" s="8"/>
      <c r="C256" s="38" t="s">
        <v>35</v>
      </c>
      <c r="D256" s="20">
        <v>0</v>
      </c>
      <c r="E256" s="35">
        <v>61.63</v>
      </c>
      <c r="F256" s="15">
        <v>3.23</v>
      </c>
      <c r="G256" s="15">
        <v>0</v>
      </c>
      <c r="H256" s="15">
        <v>0</v>
      </c>
      <c r="I256" s="15">
        <v>0</v>
      </c>
      <c r="J256" s="20">
        <f>SUM(D256:I256)</f>
        <v>64.86</v>
      </c>
      <c r="K256" s="8"/>
      <c r="L256" s="8"/>
    </row>
    <row r="257" spans="1:12">
      <c r="A257" s="8"/>
      <c r="B257" s="8"/>
      <c r="C257" s="8" t="s">
        <v>97</v>
      </c>
      <c r="D257" s="20">
        <v>0</v>
      </c>
      <c r="E257" s="35">
        <v>24.04</v>
      </c>
      <c r="F257" s="15">
        <v>0.62</v>
      </c>
      <c r="G257" s="15">
        <v>0</v>
      </c>
      <c r="H257" s="15">
        <v>0</v>
      </c>
      <c r="I257" s="15">
        <v>0</v>
      </c>
      <c r="J257" s="20">
        <f>SUM(D257:I257)</f>
        <v>24.66</v>
      </c>
      <c r="K257" s="8"/>
      <c r="L257" s="8"/>
    </row>
    <row r="258" spans="1:12">
      <c r="A258" s="8"/>
      <c r="B258" s="8"/>
      <c r="C258" s="8" t="s">
        <v>98</v>
      </c>
      <c r="D258" s="25">
        <v>0</v>
      </c>
      <c r="E258" s="45">
        <v>0</v>
      </c>
      <c r="F258" s="24">
        <v>1.99</v>
      </c>
      <c r="G258" s="24">
        <v>0</v>
      </c>
      <c r="H258" s="24">
        <v>0</v>
      </c>
      <c r="I258" s="24">
        <v>0</v>
      </c>
      <c r="J258" s="25">
        <f>SUM(D258:I258)</f>
        <v>1.99</v>
      </c>
      <c r="K258" s="8"/>
      <c r="L258" s="8"/>
    </row>
    <row r="259" spans="1:12">
      <c r="A259" s="8"/>
      <c r="B259" s="8"/>
      <c r="C259" s="8"/>
      <c r="D259" s="20"/>
      <c r="E259" s="20"/>
      <c r="F259" s="15"/>
      <c r="G259" s="15"/>
      <c r="H259" s="15"/>
      <c r="I259" s="15"/>
      <c r="J259" s="20"/>
      <c r="K259" s="8"/>
      <c r="L259" s="8"/>
    </row>
    <row r="260" spans="1:12">
      <c r="A260" s="8"/>
      <c r="B260" s="8"/>
      <c r="C260" s="8"/>
      <c r="D260" s="20"/>
      <c r="E260" s="20"/>
      <c r="F260" s="15"/>
      <c r="G260" s="15"/>
      <c r="H260" s="15"/>
      <c r="I260" s="15"/>
      <c r="J260" s="20"/>
      <c r="K260" s="8"/>
      <c r="L260" s="8"/>
    </row>
    <row r="261" spans="1:12" ht="15.75" thickBot="1">
      <c r="A261" s="8"/>
      <c r="B261" s="8"/>
      <c r="C261" s="8" t="s">
        <v>10</v>
      </c>
      <c r="D261" s="31">
        <f t="shared" ref="D261:I261" si="40">SUM(D255:D260)</f>
        <v>75999.25</v>
      </c>
      <c r="E261" s="31">
        <f t="shared" si="40"/>
        <v>1197.5500000000002</v>
      </c>
      <c r="F261" s="30">
        <f t="shared" si="40"/>
        <v>71.09</v>
      </c>
      <c r="G261" s="30">
        <f t="shared" si="40"/>
        <v>0</v>
      </c>
      <c r="H261" s="30">
        <f t="shared" si="40"/>
        <v>0</v>
      </c>
      <c r="I261" s="30">
        <f t="shared" si="40"/>
        <v>0</v>
      </c>
      <c r="J261" s="31">
        <f>SUM(D261:I261)</f>
        <v>77267.89</v>
      </c>
      <c r="K261" s="8"/>
      <c r="L261" s="8"/>
    </row>
    <row r="262" spans="1:12" ht="15.75" thickTop="1">
      <c r="A262" s="8"/>
      <c r="B262" s="8"/>
      <c r="C262" s="8"/>
      <c r="D262" s="20"/>
      <c r="E262" s="20"/>
      <c r="F262" s="15"/>
      <c r="G262" s="15"/>
      <c r="H262" s="15"/>
      <c r="I262" s="15"/>
      <c r="J262" s="20"/>
      <c r="K262" s="8"/>
      <c r="L262" s="8"/>
    </row>
    <row r="263" spans="1:12">
      <c r="A263" s="8"/>
      <c r="B263" s="8"/>
      <c r="C263" s="8"/>
      <c r="D263" s="20"/>
      <c r="E263" s="20"/>
      <c r="F263" s="15"/>
      <c r="G263" s="15"/>
      <c r="H263" s="15"/>
      <c r="I263" s="15"/>
      <c r="J263" s="20"/>
      <c r="K263" s="8"/>
      <c r="L263" s="8"/>
    </row>
    <row r="264" spans="1:12">
      <c r="A264" s="8">
        <v>61</v>
      </c>
      <c r="B264" s="8" t="s">
        <v>56</v>
      </c>
      <c r="C264" s="8" t="s">
        <v>12</v>
      </c>
      <c r="D264" s="39">
        <f>11153.13+2345.69</f>
        <v>13498.82</v>
      </c>
      <c r="E264" s="35">
        <v>2.64</v>
      </c>
      <c r="F264" s="15">
        <v>0</v>
      </c>
      <c r="G264" s="15">
        <v>0</v>
      </c>
      <c r="H264" s="15">
        <v>0</v>
      </c>
      <c r="I264" s="15">
        <v>0</v>
      </c>
      <c r="J264" s="20">
        <f>SUM(D264:I264)</f>
        <v>13501.46</v>
      </c>
      <c r="K264" s="8"/>
      <c r="L264" s="8"/>
    </row>
    <row r="265" spans="1:12">
      <c r="A265" s="8"/>
      <c r="B265" s="8"/>
      <c r="C265" s="8" t="s">
        <v>13</v>
      </c>
      <c r="D265" s="20">
        <f>158.97+33.43</f>
        <v>192.4</v>
      </c>
      <c r="E265" s="35">
        <v>7.0000000000000007E-2</v>
      </c>
      <c r="F265" s="15">
        <v>0</v>
      </c>
      <c r="G265" s="15">
        <v>0</v>
      </c>
      <c r="H265" s="15">
        <v>0</v>
      </c>
      <c r="I265" s="15">
        <v>0</v>
      </c>
      <c r="J265" s="20">
        <f>SUM(D265:I265)</f>
        <v>192.47</v>
      </c>
      <c r="K265" s="8"/>
      <c r="L265" s="8"/>
    </row>
    <row r="266" spans="1:12" ht="15.75" thickBot="1">
      <c r="A266" s="8"/>
      <c r="B266" s="8"/>
      <c r="C266" s="8" t="s">
        <v>99</v>
      </c>
      <c r="D266" s="29">
        <v>0</v>
      </c>
      <c r="E266" s="34">
        <v>0.28999999999999998</v>
      </c>
      <c r="F266" s="28">
        <v>0</v>
      </c>
      <c r="G266" s="28">
        <v>0</v>
      </c>
      <c r="H266" s="28">
        <v>0</v>
      </c>
      <c r="I266" s="28">
        <v>0</v>
      </c>
      <c r="J266" s="29">
        <f>SUM(D266:I266)</f>
        <v>0.28999999999999998</v>
      </c>
      <c r="K266" s="8"/>
      <c r="L266" s="8"/>
    </row>
    <row r="267" spans="1:12">
      <c r="A267" s="8"/>
      <c r="B267" s="8"/>
      <c r="C267" s="8"/>
      <c r="D267" s="20"/>
      <c r="E267" s="35"/>
      <c r="F267" s="15"/>
      <c r="G267" s="15"/>
      <c r="H267" s="15"/>
      <c r="I267" s="15"/>
      <c r="J267" s="20"/>
      <c r="K267" s="8"/>
      <c r="L267" s="8"/>
    </row>
    <row r="268" spans="1:12" ht="15.75" thickBot="1">
      <c r="A268" s="8"/>
      <c r="B268" s="8"/>
      <c r="C268" s="8" t="s">
        <v>10</v>
      </c>
      <c r="D268" s="31">
        <f>SUM(D264:D266)</f>
        <v>13691.22</v>
      </c>
      <c r="E268" s="44">
        <f t="shared" ref="E268:J268" si="41">SUM(E264:E266)</f>
        <v>3</v>
      </c>
      <c r="F268" s="30">
        <f t="shared" si="41"/>
        <v>0</v>
      </c>
      <c r="G268" s="30">
        <f t="shared" si="41"/>
        <v>0</v>
      </c>
      <c r="H268" s="30">
        <f t="shared" si="41"/>
        <v>0</v>
      </c>
      <c r="I268" s="30">
        <f t="shared" si="41"/>
        <v>0</v>
      </c>
      <c r="J268" s="30">
        <f t="shared" si="41"/>
        <v>13694.22</v>
      </c>
      <c r="K268" s="8"/>
      <c r="L268" s="8"/>
    </row>
    <row r="269" spans="1:12" ht="15.75" thickTop="1">
      <c r="A269" s="8"/>
      <c r="B269" s="8"/>
      <c r="C269" s="8"/>
      <c r="D269" s="20"/>
      <c r="E269" s="35"/>
      <c r="F269" s="15"/>
      <c r="G269" s="15"/>
      <c r="H269" s="15"/>
      <c r="I269" s="15"/>
      <c r="J269" s="20"/>
      <c r="K269" s="8"/>
      <c r="L269" s="8"/>
    </row>
    <row r="270" spans="1:12">
      <c r="A270" s="8"/>
      <c r="B270" s="8"/>
      <c r="C270" s="8"/>
      <c r="D270" s="20"/>
      <c r="E270" s="35"/>
      <c r="F270" s="15"/>
      <c r="G270" s="15"/>
      <c r="H270" s="15"/>
      <c r="I270" s="15"/>
      <c r="J270" s="20"/>
      <c r="K270" s="8"/>
      <c r="L270" s="8"/>
    </row>
    <row r="271" spans="1:12">
      <c r="A271" s="8">
        <v>62</v>
      </c>
      <c r="B271" s="8" t="s">
        <v>57</v>
      </c>
      <c r="C271" s="8" t="s">
        <v>12</v>
      </c>
      <c r="D271" s="20">
        <f>5753.65+1782.62</f>
        <v>7536.2699999999995</v>
      </c>
      <c r="E271" s="35">
        <v>3.76</v>
      </c>
      <c r="F271" s="15">
        <v>0</v>
      </c>
      <c r="G271" s="15">
        <v>0</v>
      </c>
      <c r="H271" s="15">
        <v>0</v>
      </c>
      <c r="I271" s="15">
        <v>0</v>
      </c>
      <c r="J271" s="20">
        <f>SUM(D271:I271)</f>
        <v>7540.03</v>
      </c>
      <c r="K271" s="8"/>
      <c r="L271" s="8"/>
    </row>
    <row r="272" spans="1:12" ht="15.75" thickBot="1">
      <c r="A272" s="8"/>
      <c r="B272" s="8"/>
      <c r="C272" s="8" t="s">
        <v>13</v>
      </c>
      <c r="D272" s="29">
        <f>39.93+12.37</f>
        <v>52.3</v>
      </c>
      <c r="E272" s="34">
        <v>0.06</v>
      </c>
      <c r="F272" s="28">
        <v>0</v>
      </c>
      <c r="G272" s="28">
        <v>0</v>
      </c>
      <c r="H272" s="28">
        <v>0</v>
      </c>
      <c r="I272" s="28">
        <v>0</v>
      </c>
      <c r="J272" s="29">
        <f>SUM(D272:I272)</f>
        <v>52.36</v>
      </c>
      <c r="K272" s="8"/>
      <c r="L272" s="8"/>
    </row>
    <row r="273" spans="1:12">
      <c r="A273" s="8"/>
      <c r="B273" s="8"/>
      <c r="C273" s="8"/>
      <c r="D273" s="20"/>
      <c r="E273" s="35"/>
      <c r="F273" s="15"/>
      <c r="G273" s="15"/>
      <c r="H273" s="15"/>
      <c r="I273" s="15"/>
      <c r="J273" s="20"/>
      <c r="K273" s="8"/>
      <c r="L273" s="8"/>
    </row>
    <row r="274" spans="1:12" ht="15.75" thickBot="1">
      <c r="A274" s="8"/>
      <c r="B274" s="8"/>
      <c r="C274" s="8" t="s">
        <v>10</v>
      </c>
      <c r="D274" s="31">
        <f t="shared" ref="D274:I274" si="42">SUM(D271:D272)</f>
        <v>7588.57</v>
      </c>
      <c r="E274" s="44">
        <f t="shared" si="42"/>
        <v>3.82</v>
      </c>
      <c r="F274" s="30">
        <f t="shared" si="42"/>
        <v>0</v>
      </c>
      <c r="G274" s="30">
        <f t="shared" si="42"/>
        <v>0</v>
      </c>
      <c r="H274" s="30">
        <f t="shared" si="42"/>
        <v>0</v>
      </c>
      <c r="I274" s="30">
        <f t="shared" si="42"/>
        <v>0</v>
      </c>
      <c r="J274" s="31">
        <f>SUM(D274:I274)</f>
        <v>7592.3899999999994</v>
      </c>
      <c r="K274" s="8"/>
      <c r="L274" s="8"/>
    </row>
    <row r="275" spans="1:12" ht="15.75" thickTop="1">
      <c r="A275" s="8"/>
      <c r="B275" s="8"/>
      <c r="C275" s="8"/>
      <c r="D275" s="20"/>
      <c r="E275" s="20"/>
      <c r="F275" s="15"/>
      <c r="G275" s="15"/>
      <c r="H275" s="15"/>
      <c r="I275" s="15"/>
      <c r="J275" s="20"/>
      <c r="K275" s="8"/>
      <c r="L275" s="8"/>
    </row>
    <row r="276" spans="1:12">
      <c r="A276" s="8"/>
      <c r="B276" s="8"/>
      <c r="C276" s="8"/>
      <c r="D276" s="20"/>
      <c r="E276" s="20"/>
      <c r="F276" s="15"/>
      <c r="G276" s="15"/>
      <c r="H276" s="15"/>
      <c r="I276" s="15"/>
      <c r="J276" s="20"/>
      <c r="K276" s="8"/>
      <c r="L276" s="8"/>
    </row>
    <row r="277" spans="1:12">
      <c r="A277" s="8">
        <v>63</v>
      </c>
      <c r="B277" s="8" t="s">
        <v>58</v>
      </c>
      <c r="C277" s="8" t="s">
        <v>12</v>
      </c>
      <c r="D277" s="20">
        <f>10861.43+3241.55</f>
        <v>14102.98</v>
      </c>
      <c r="E277" s="20">
        <v>191.47</v>
      </c>
      <c r="F277" s="15">
        <v>94.4</v>
      </c>
      <c r="G277" s="15">
        <v>0</v>
      </c>
      <c r="H277" s="15">
        <v>0</v>
      </c>
      <c r="I277" s="15">
        <v>0</v>
      </c>
      <c r="J277" s="20">
        <f>SUM(D277:I277)</f>
        <v>14388.849999999999</v>
      </c>
      <c r="K277" s="8"/>
      <c r="L277" s="8"/>
    </row>
    <row r="278" spans="1:12" ht="15.75" thickBot="1">
      <c r="A278" s="8"/>
      <c r="B278" s="8"/>
      <c r="C278" s="8" t="s">
        <v>13</v>
      </c>
      <c r="D278" s="29">
        <f>328.08+97.91</f>
        <v>425.99</v>
      </c>
      <c r="E278" s="29">
        <v>4.92</v>
      </c>
      <c r="F278" s="28">
        <v>2.42</v>
      </c>
      <c r="G278" s="28">
        <v>0</v>
      </c>
      <c r="H278" s="28">
        <v>0</v>
      </c>
      <c r="I278" s="28">
        <v>0</v>
      </c>
      <c r="J278" s="29">
        <f>SUM(D278:I278)</f>
        <v>433.33000000000004</v>
      </c>
      <c r="K278" s="8"/>
      <c r="L278" s="8"/>
    </row>
    <row r="279" spans="1:12">
      <c r="A279" s="8"/>
      <c r="B279" s="8"/>
      <c r="C279" s="8"/>
      <c r="D279" s="20"/>
      <c r="E279" s="20"/>
      <c r="F279" s="15"/>
      <c r="G279" s="15"/>
      <c r="H279" s="15"/>
      <c r="I279" s="15"/>
      <c r="J279" s="20"/>
      <c r="K279" s="8"/>
      <c r="L279" s="8"/>
    </row>
    <row r="280" spans="1:12" ht="15.75" thickBot="1">
      <c r="A280" s="8"/>
      <c r="B280" s="8"/>
      <c r="C280" s="8" t="s">
        <v>10</v>
      </c>
      <c r="D280" s="31">
        <f t="shared" ref="D280:I280" si="43">SUM(D277:D278)</f>
        <v>14528.97</v>
      </c>
      <c r="E280" s="31">
        <f t="shared" si="43"/>
        <v>196.39</v>
      </c>
      <c r="F280" s="30">
        <f t="shared" si="43"/>
        <v>96.820000000000007</v>
      </c>
      <c r="G280" s="30">
        <f t="shared" si="43"/>
        <v>0</v>
      </c>
      <c r="H280" s="30">
        <f t="shared" si="43"/>
        <v>0</v>
      </c>
      <c r="I280" s="30">
        <f t="shared" si="43"/>
        <v>0</v>
      </c>
      <c r="J280" s="31">
        <f>SUM(D280:I280)</f>
        <v>14822.179999999998</v>
      </c>
      <c r="K280" s="8"/>
      <c r="L280" s="8"/>
    </row>
    <row r="281" spans="1:12" ht="15.75" thickTop="1">
      <c r="A281" s="8"/>
      <c r="B281" s="8"/>
      <c r="C281" s="8"/>
      <c r="D281" s="20"/>
      <c r="E281" s="20"/>
      <c r="F281" s="15"/>
      <c r="G281" s="15"/>
      <c r="H281" s="15"/>
      <c r="I281" s="15"/>
      <c r="J281" s="20"/>
      <c r="K281" s="8"/>
      <c r="L281" s="8"/>
    </row>
    <row r="282" spans="1:12">
      <c r="A282" s="8"/>
      <c r="B282" s="8"/>
      <c r="C282" s="8"/>
      <c r="D282" s="20"/>
      <c r="E282" s="20"/>
      <c r="F282" s="15"/>
      <c r="G282" s="15"/>
      <c r="H282" s="15"/>
      <c r="I282" s="15"/>
      <c r="J282" s="20"/>
      <c r="K282" s="8"/>
      <c r="L282" s="8"/>
    </row>
    <row r="283" spans="1:12" ht="15.75" thickBot="1">
      <c r="A283" s="8">
        <v>64</v>
      </c>
      <c r="B283" s="8" t="s">
        <v>59</v>
      </c>
      <c r="C283" s="8" t="s">
        <v>12</v>
      </c>
      <c r="D283" s="29">
        <f>48281.1+10752.21</f>
        <v>59033.31</v>
      </c>
      <c r="E283" s="29">
        <v>482.24</v>
      </c>
      <c r="F283" s="28">
        <v>138.49</v>
      </c>
      <c r="G283" s="28">
        <v>0</v>
      </c>
      <c r="H283" s="28">
        <v>0</v>
      </c>
      <c r="I283" s="28">
        <v>0</v>
      </c>
      <c r="J283" s="29">
        <f>SUM(D283:I283)</f>
        <v>59654.039999999994</v>
      </c>
      <c r="K283" s="8"/>
      <c r="L283" s="8"/>
    </row>
    <row r="284" spans="1:12">
      <c r="A284" s="8"/>
      <c r="B284" s="8"/>
      <c r="C284" s="8"/>
      <c r="D284" s="20"/>
      <c r="E284" s="20"/>
      <c r="F284" s="15"/>
      <c r="G284" s="15"/>
      <c r="H284" s="15"/>
      <c r="I284" s="15"/>
      <c r="J284" s="20"/>
      <c r="K284" s="8"/>
      <c r="L284" s="8"/>
    </row>
    <row r="285" spans="1:12" ht="15.75" thickBot="1">
      <c r="A285" s="8"/>
      <c r="B285" s="8"/>
      <c r="C285" s="8" t="s">
        <v>10</v>
      </c>
      <c r="D285" s="31">
        <f t="shared" ref="D285:I285" si="44">SUM(D283:D284)</f>
        <v>59033.31</v>
      </c>
      <c r="E285" s="31">
        <f t="shared" si="44"/>
        <v>482.24</v>
      </c>
      <c r="F285" s="30">
        <f t="shared" si="44"/>
        <v>138.49</v>
      </c>
      <c r="G285" s="30">
        <f t="shared" si="44"/>
        <v>0</v>
      </c>
      <c r="H285" s="30">
        <f t="shared" si="44"/>
        <v>0</v>
      </c>
      <c r="I285" s="30">
        <f t="shared" si="44"/>
        <v>0</v>
      </c>
      <c r="J285" s="31">
        <f>SUM(D285:I285)</f>
        <v>59654.039999999994</v>
      </c>
      <c r="K285" s="8"/>
      <c r="L285" s="8"/>
    </row>
    <row r="286" spans="1:12" ht="15.75" thickTop="1">
      <c r="A286" s="8"/>
      <c r="B286" s="8"/>
      <c r="C286" s="8"/>
      <c r="D286" s="20"/>
      <c r="E286" s="20"/>
      <c r="F286" s="15"/>
      <c r="G286" s="15"/>
      <c r="H286" s="15"/>
      <c r="I286" s="15"/>
      <c r="J286" s="20"/>
      <c r="K286" s="8"/>
      <c r="L286" s="8"/>
    </row>
    <row r="287" spans="1:12">
      <c r="A287" s="8"/>
      <c r="B287" s="12"/>
      <c r="C287" s="12"/>
      <c r="D287" s="36"/>
      <c r="E287" s="36"/>
      <c r="F287" s="16"/>
      <c r="G287" s="13"/>
      <c r="H287" s="13"/>
      <c r="I287" s="13"/>
      <c r="J287" s="20"/>
      <c r="K287" s="8"/>
      <c r="L287" s="8"/>
    </row>
    <row r="288" spans="1:12">
      <c r="A288" s="8">
        <v>65</v>
      </c>
      <c r="B288" s="8" t="s">
        <v>60</v>
      </c>
      <c r="C288" s="8" t="s">
        <v>12</v>
      </c>
      <c r="D288" s="25">
        <f>11640.15+2972.45</f>
        <v>14612.599999999999</v>
      </c>
      <c r="E288" s="25">
        <v>30.95</v>
      </c>
      <c r="F288" s="24">
        <v>0</v>
      </c>
      <c r="G288" s="24">
        <v>0</v>
      </c>
      <c r="H288" s="24">
        <v>0</v>
      </c>
      <c r="I288" s="24">
        <v>0</v>
      </c>
      <c r="J288" s="25">
        <f>SUM(D288:I288)</f>
        <v>14643.55</v>
      </c>
      <c r="K288" s="8"/>
      <c r="L288" s="8"/>
    </row>
    <row r="289" spans="1:12" ht="15.75" hidden="1" thickBot="1">
      <c r="A289" s="8"/>
      <c r="B289" s="8"/>
      <c r="C289" s="8" t="s">
        <v>13</v>
      </c>
      <c r="D289" s="29"/>
      <c r="E289" s="29"/>
      <c r="F289" s="28"/>
      <c r="G289" s="28"/>
      <c r="H289" s="28"/>
      <c r="I289" s="28"/>
      <c r="J289" s="29"/>
      <c r="K289" s="8"/>
      <c r="L289" s="8"/>
    </row>
    <row r="290" spans="1:12">
      <c r="A290" s="8"/>
      <c r="B290" s="8"/>
      <c r="C290" s="8"/>
      <c r="D290" s="20"/>
      <c r="E290" s="20"/>
      <c r="F290" s="15"/>
      <c r="G290" s="15"/>
      <c r="H290" s="15"/>
      <c r="I290" s="15"/>
      <c r="J290" s="20"/>
      <c r="K290" s="8"/>
      <c r="L290" s="8"/>
    </row>
    <row r="291" spans="1:12" ht="15.75" thickBot="1">
      <c r="A291" s="8"/>
      <c r="B291" s="8"/>
      <c r="C291" s="8" t="s">
        <v>10</v>
      </c>
      <c r="D291" s="31">
        <f t="shared" ref="D291:I291" si="45">SUM(D288:D289)</f>
        <v>14612.599999999999</v>
      </c>
      <c r="E291" s="31">
        <f t="shared" si="45"/>
        <v>30.95</v>
      </c>
      <c r="F291" s="30">
        <f t="shared" si="45"/>
        <v>0</v>
      </c>
      <c r="G291" s="30">
        <f t="shared" si="45"/>
        <v>0</v>
      </c>
      <c r="H291" s="30">
        <f t="shared" si="45"/>
        <v>0</v>
      </c>
      <c r="I291" s="30">
        <f t="shared" si="45"/>
        <v>0</v>
      </c>
      <c r="J291" s="31">
        <f>SUM(D291:I291)</f>
        <v>14643.55</v>
      </c>
      <c r="K291" s="8"/>
      <c r="L291" s="8"/>
    </row>
    <row r="292" spans="1:12" ht="15.75" thickTop="1">
      <c r="A292" s="8"/>
      <c r="B292" s="8"/>
      <c r="C292" s="8"/>
      <c r="D292" s="20"/>
      <c r="E292" s="20"/>
      <c r="F292" s="15"/>
      <c r="G292" s="15"/>
      <c r="H292" s="15"/>
      <c r="I292" s="15"/>
      <c r="J292" s="20"/>
      <c r="K292" s="8"/>
      <c r="L292" s="8"/>
    </row>
    <row r="293" spans="1:12">
      <c r="A293" s="8"/>
      <c r="B293" s="8"/>
      <c r="C293" s="8"/>
      <c r="D293" s="20"/>
      <c r="E293" s="20"/>
      <c r="F293" s="15"/>
      <c r="G293" s="15"/>
      <c r="H293" s="15"/>
      <c r="I293" s="15"/>
      <c r="J293" s="20"/>
      <c r="K293" s="8"/>
      <c r="L293" s="8"/>
    </row>
    <row r="294" spans="1:12">
      <c r="A294" s="8">
        <v>66</v>
      </c>
      <c r="B294" s="8" t="s">
        <v>61</v>
      </c>
      <c r="C294" s="8" t="s">
        <v>12</v>
      </c>
      <c r="D294" s="20">
        <f>12207.82+2845.66</f>
        <v>15053.48</v>
      </c>
      <c r="E294" s="20">
        <v>229.54</v>
      </c>
      <c r="F294" s="15">
        <v>115.84</v>
      </c>
      <c r="G294" s="15">
        <v>0</v>
      </c>
      <c r="H294" s="15">
        <v>0</v>
      </c>
      <c r="I294" s="15">
        <v>0</v>
      </c>
      <c r="J294" s="20">
        <f>SUM(D294:I294)</f>
        <v>15398.86</v>
      </c>
      <c r="K294" s="8"/>
      <c r="L294" s="8"/>
    </row>
    <row r="295" spans="1:12">
      <c r="A295" s="8"/>
      <c r="B295" s="8"/>
      <c r="C295" s="38" t="s">
        <v>35</v>
      </c>
      <c r="D295" s="20">
        <v>0</v>
      </c>
      <c r="E295" s="35">
        <v>17</v>
      </c>
      <c r="F295" s="15">
        <v>8.86</v>
      </c>
      <c r="G295" s="15">
        <v>0</v>
      </c>
      <c r="H295" s="15">
        <v>0</v>
      </c>
      <c r="I295" s="15">
        <v>0</v>
      </c>
      <c r="J295" s="35">
        <f>SUM(D295:I295)</f>
        <v>25.86</v>
      </c>
      <c r="K295" s="8"/>
      <c r="L295" s="8"/>
    </row>
    <row r="296" spans="1:12">
      <c r="A296" s="8"/>
      <c r="B296" s="8"/>
      <c r="C296" s="38" t="s">
        <v>73</v>
      </c>
      <c r="D296" s="20">
        <v>0</v>
      </c>
      <c r="E296" s="20">
        <v>0</v>
      </c>
      <c r="F296" s="15">
        <v>14.52</v>
      </c>
      <c r="G296" s="15">
        <v>0</v>
      </c>
      <c r="H296" s="15">
        <v>0</v>
      </c>
      <c r="I296" s="15">
        <v>0</v>
      </c>
      <c r="J296" s="35">
        <f>SUM(D296:I296)</f>
        <v>14.52</v>
      </c>
      <c r="K296" s="8"/>
      <c r="L296" s="8"/>
    </row>
    <row r="297" spans="1:12" ht="15.75" thickBot="1">
      <c r="A297" s="8"/>
      <c r="B297" s="8"/>
      <c r="C297" s="38" t="s">
        <v>109</v>
      </c>
      <c r="D297" s="29">
        <v>0</v>
      </c>
      <c r="E297" s="34">
        <v>25.5</v>
      </c>
      <c r="F297" s="28">
        <v>21.79</v>
      </c>
      <c r="G297" s="33">
        <v>0</v>
      </c>
      <c r="H297" s="33">
        <v>0</v>
      </c>
      <c r="I297" s="33">
        <v>0</v>
      </c>
      <c r="J297" s="29">
        <f>SUM(D297:I297)</f>
        <v>47.29</v>
      </c>
      <c r="K297" s="8"/>
      <c r="L297" s="8"/>
    </row>
    <row r="298" spans="1:12">
      <c r="A298" s="8"/>
      <c r="B298" s="8"/>
      <c r="C298" s="8"/>
      <c r="D298" s="20"/>
      <c r="E298" s="20"/>
      <c r="F298" s="15"/>
      <c r="G298" s="8"/>
      <c r="H298" s="8"/>
      <c r="I298" s="8"/>
      <c r="J298" s="20"/>
      <c r="K298" s="8"/>
      <c r="L298" s="8"/>
    </row>
    <row r="299" spans="1:12" ht="15.75" thickBot="1">
      <c r="A299" s="8"/>
      <c r="B299" s="8"/>
      <c r="C299" s="8" t="s">
        <v>10</v>
      </c>
      <c r="D299" s="31">
        <f t="shared" ref="D299:I299" si="46">SUM(D294:D297)</f>
        <v>15053.48</v>
      </c>
      <c r="E299" s="31">
        <f t="shared" si="46"/>
        <v>272.03999999999996</v>
      </c>
      <c r="F299" s="30">
        <f t="shared" si="46"/>
        <v>161.01</v>
      </c>
      <c r="G299" s="30">
        <f t="shared" si="46"/>
        <v>0</v>
      </c>
      <c r="H299" s="30">
        <f t="shared" si="46"/>
        <v>0</v>
      </c>
      <c r="I299" s="30">
        <f t="shared" si="46"/>
        <v>0</v>
      </c>
      <c r="J299" s="31">
        <f>SUM(D299:I299)</f>
        <v>15486.53</v>
      </c>
      <c r="K299" s="8"/>
      <c r="L299" s="8"/>
    </row>
    <row r="300" spans="1:12" ht="15.75" thickTop="1">
      <c r="A300" s="8"/>
      <c r="B300" s="8"/>
      <c r="C300" s="8"/>
      <c r="D300" s="20"/>
      <c r="E300" s="20"/>
      <c r="F300" s="15"/>
      <c r="G300" s="15"/>
      <c r="H300" s="15"/>
      <c r="I300" s="15"/>
      <c r="J300" s="20"/>
      <c r="K300" s="8"/>
      <c r="L300" s="8"/>
    </row>
    <row r="301" spans="1:12">
      <c r="A301" s="8"/>
      <c r="B301" s="8"/>
      <c r="C301" s="8"/>
      <c r="D301" s="20"/>
      <c r="E301" s="20"/>
      <c r="F301" s="15"/>
      <c r="G301" s="15"/>
      <c r="H301" s="15"/>
      <c r="I301" s="15"/>
      <c r="J301" s="20"/>
      <c r="K301" s="8"/>
      <c r="L301" s="8"/>
    </row>
    <row r="302" spans="1:12">
      <c r="A302" s="8">
        <v>67</v>
      </c>
      <c r="B302" s="8" t="s">
        <v>62</v>
      </c>
      <c r="C302" s="8" t="s">
        <v>12</v>
      </c>
      <c r="D302" s="20">
        <f>26223.51+6458.36</f>
        <v>32681.87</v>
      </c>
      <c r="E302" s="20">
        <v>887.68</v>
      </c>
      <c r="F302" s="15">
        <v>1.37</v>
      </c>
      <c r="G302" s="15">
        <v>0</v>
      </c>
      <c r="H302" s="15">
        <v>0</v>
      </c>
      <c r="I302" s="15">
        <v>0</v>
      </c>
      <c r="J302" s="20">
        <f>SUM(D302:I302)</f>
        <v>33570.92</v>
      </c>
      <c r="K302" s="8"/>
      <c r="L302" s="8"/>
    </row>
    <row r="303" spans="1:12" ht="15.75" thickBot="1">
      <c r="A303" s="8"/>
      <c r="B303" s="8"/>
      <c r="C303" s="8" t="s">
        <v>13</v>
      </c>
      <c r="D303" s="29">
        <f>439.45+108.23</f>
        <v>547.67999999999995</v>
      </c>
      <c r="E303" s="29">
        <v>15.22</v>
      </c>
      <c r="F303" s="28">
        <v>0.04</v>
      </c>
      <c r="G303" s="28">
        <v>0</v>
      </c>
      <c r="H303" s="28">
        <v>0</v>
      </c>
      <c r="I303" s="28">
        <v>0</v>
      </c>
      <c r="J303" s="29">
        <f>SUM(D303:I303)</f>
        <v>562.93999999999994</v>
      </c>
      <c r="K303" s="8"/>
      <c r="L303" s="8"/>
    </row>
    <row r="304" spans="1:12">
      <c r="A304" s="8"/>
      <c r="B304" s="8"/>
      <c r="C304" s="8"/>
      <c r="D304" s="20"/>
      <c r="E304" s="20"/>
      <c r="F304" s="15"/>
      <c r="G304" s="15"/>
      <c r="H304" s="15"/>
      <c r="I304" s="15"/>
      <c r="J304" s="20"/>
      <c r="K304" s="8"/>
      <c r="L304" s="8"/>
    </row>
    <row r="305" spans="1:12" ht="15.75" thickBot="1">
      <c r="A305" s="8"/>
      <c r="B305" s="8"/>
      <c r="C305" s="8" t="s">
        <v>10</v>
      </c>
      <c r="D305" s="31">
        <f t="shared" ref="D305:I305" si="47">SUM(D302:D303)</f>
        <v>33229.549999999996</v>
      </c>
      <c r="E305" s="31">
        <f t="shared" si="47"/>
        <v>902.9</v>
      </c>
      <c r="F305" s="30">
        <f t="shared" si="47"/>
        <v>1.4100000000000001</v>
      </c>
      <c r="G305" s="30">
        <f t="shared" si="47"/>
        <v>0</v>
      </c>
      <c r="H305" s="30">
        <f t="shared" si="47"/>
        <v>0</v>
      </c>
      <c r="I305" s="30">
        <f t="shared" si="47"/>
        <v>0</v>
      </c>
      <c r="J305" s="31">
        <f>SUM(D305:I305)</f>
        <v>34133.86</v>
      </c>
      <c r="K305" s="8"/>
      <c r="L305" s="8"/>
    </row>
    <row r="306" spans="1:12" ht="15.75" thickTop="1">
      <c r="A306" s="8"/>
      <c r="B306" s="8"/>
      <c r="C306" s="8"/>
      <c r="D306" s="20"/>
      <c r="E306" s="20"/>
      <c r="F306" s="15"/>
      <c r="G306" s="15"/>
      <c r="H306" s="15"/>
      <c r="I306" s="15"/>
      <c r="J306" s="20"/>
      <c r="K306" s="8"/>
      <c r="L306" s="8"/>
    </row>
    <row r="307" spans="1:12">
      <c r="A307" s="8"/>
      <c r="B307" s="8"/>
      <c r="C307" s="8"/>
      <c r="D307" s="20"/>
      <c r="E307" s="20"/>
      <c r="F307" s="15"/>
      <c r="G307" s="15"/>
      <c r="H307" s="15"/>
      <c r="I307" s="15"/>
      <c r="J307" s="20"/>
      <c r="K307" s="8"/>
      <c r="L307" s="8"/>
    </row>
    <row r="308" spans="1:12">
      <c r="A308" s="8">
        <v>68</v>
      </c>
      <c r="B308" s="8" t="s">
        <v>63</v>
      </c>
      <c r="C308" s="8" t="s">
        <v>12</v>
      </c>
      <c r="D308" s="25">
        <f>8555.62+2001.72</f>
        <v>10557.34</v>
      </c>
      <c r="E308" s="45">
        <v>139.4</v>
      </c>
      <c r="F308" s="24">
        <v>127.83</v>
      </c>
      <c r="G308" s="24">
        <v>0</v>
      </c>
      <c r="H308" s="24">
        <v>0</v>
      </c>
      <c r="I308" s="24">
        <v>0</v>
      </c>
      <c r="J308" s="25">
        <f>SUM(D308:I308)</f>
        <v>10824.57</v>
      </c>
      <c r="K308" s="8"/>
      <c r="L308" s="8"/>
    </row>
    <row r="309" spans="1:12" ht="15.75" hidden="1" thickBot="1">
      <c r="A309" s="8"/>
      <c r="B309" s="8"/>
      <c r="C309" s="8" t="s">
        <v>13</v>
      </c>
      <c r="D309" s="29"/>
      <c r="E309" s="34"/>
      <c r="F309" s="28"/>
      <c r="G309" s="28"/>
      <c r="H309" s="28"/>
      <c r="I309" s="28"/>
      <c r="J309" s="29"/>
      <c r="K309" s="8"/>
      <c r="L309" s="8"/>
    </row>
    <row r="310" spans="1:12">
      <c r="A310" s="8"/>
      <c r="B310" s="8"/>
      <c r="C310" s="8"/>
      <c r="D310" s="20"/>
      <c r="E310" s="35"/>
      <c r="F310" s="15"/>
      <c r="G310" s="15"/>
      <c r="H310" s="15"/>
      <c r="I310" s="15"/>
      <c r="J310" s="20"/>
      <c r="K310" s="8"/>
      <c r="L310" s="8"/>
    </row>
    <row r="311" spans="1:12" ht="15.75" thickBot="1">
      <c r="A311" s="8"/>
      <c r="B311" s="8"/>
      <c r="C311" s="8" t="s">
        <v>10</v>
      </c>
      <c r="D311" s="31">
        <f t="shared" ref="D311:I311" si="48">SUM(D308:D309)</f>
        <v>10557.34</v>
      </c>
      <c r="E311" s="44">
        <f t="shared" si="48"/>
        <v>139.4</v>
      </c>
      <c r="F311" s="30">
        <f t="shared" si="48"/>
        <v>127.83</v>
      </c>
      <c r="G311" s="30">
        <f t="shared" si="48"/>
        <v>0</v>
      </c>
      <c r="H311" s="30">
        <f t="shared" si="48"/>
        <v>0</v>
      </c>
      <c r="I311" s="30">
        <f t="shared" si="48"/>
        <v>0</v>
      </c>
      <c r="J311" s="31">
        <f>SUM(D311:I311)</f>
        <v>10824.57</v>
      </c>
      <c r="K311" s="8"/>
      <c r="L311" s="8"/>
    </row>
    <row r="312" spans="1:12" ht="15.75" thickTop="1">
      <c r="A312" s="8"/>
      <c r="B312" s="8"/>
      <c r="C312" s="8"/>
      <c r="D312" s="20"/>
      <c r="E312" s="20"/>
      <c r="F312" s="15"/>
      <c r="G312" s="15"/>
      <c r="H312" s="15"/>
      <c r="I312" s="15"/>
      <c r="J312" s="20"/>
      <c r="K312" s="8"/>
      <c r="L312" s="8"/>
    </row>
    <row r="313" spans="1:12">
      <c r="A313" s="8"/>
      <c r="B313" s="8"/>
      <c r="C313" s="8"/>
      <c r="D313" s="20"/>
      <c r="E313" s="20"/>
      <c r="F313" s="15"/>
      <c r="G313" s="15"/>
      <c r="H313" s="15"/>
      <c r="I313" s="15"/>
      <c r="J313" s="20"/>
      <c r="K313" s="8"/>
      <c r="L313" s="8"/>
    </row>
    <row r="314" spans="1:12">
      <c r="A314" s="8">
        <v>69</v>
      </c>
      <c r="B314" s="8" t="s">
        <v>64</v>
      </c>
      <c r="C314" s="8" t="s">
        <v>12</v>
      </c>
      <c r="D314" s="25">
        <f>6858.89+1777.34</f>
        <v>8636.23</v>
      </c>
      <c r="E314" s="25">
        <v>79.89</v>
      </c>
      <c r="F314" s="24">
        <v>0.28000000000000003</v>
      </c>
      <c r="G314" s="24">
        <v>0</v>
      </c>
      <c r="H314" s="24">
        <v>0</v>
      </c>
      <c r="I314" s="24">
        <v>0</v>
      </c>
      <c r="J314" s="25">
        <f>SUM(D314:I314)</f>
        <v>8716.4</v>
      </c>
      <c r="K314" s="8"/>
      <c r="L314" s="8"/>
    </row>
    <row r="315" spans="1:12" ht="15.75" hidden="1" thickBot="1">
      <c r="A315" s="8"/>
      <c r="B315" s="8"/>
      <c r="C315" s="8" t="s">
        <v>13</v>
      </c>
      <c r="D315" s="29"/>
      <c r="E315" s="29"/>
      <c r="F315" s="28"/>
      <c r="G315" s="28"/>
      <c r="H315" s="28"/>
      <c r="I315" s="28"/>
      <c r="J315" s="34">
        <v>0</v>
      </c>
      <c r="K315" s="8"/>
      <c r="L315" s="8"/>
    </row>
    <row r="316" spans="1:12">
      <c r="A316" s="8"/>
      <c r="B316" s="8"/>
      <c r="C316" s="8"/>
      <c r="D316" s="20"/>
      <c r="E316" s="20"/>
      <c r="F316" s="15"/>
      <c r="G316" s="15"/>
      <c r="H316" s="15"/>
      <c r="I316" s="15"/>
      <c r="J316" s="20"/>
      <c r="K316" s="8"/>
      <c r="L316" s="8"/>
    </row>
    <row r="317" spans="1:12" ht="15.75" thickBot="1">
      <c r="A317" s="8"/>
      <c r="B317" s="8"/>
      <c r="C317" s="8" t="s">
        <v>10</v>
      </c>
      <c r="D317" s="31">
        <f t="shared" ref="D317:I317" si="49">SUM(D314:D315)</f>
        <v>8636.23</v>
      </c>
      <c r="E317" s="31">
        <f t="shared" si="49"/>
        <v>79.89</v>
      </c>
      <c r="F317" s="30">
        <f t="shared" si="49"/>
        <v>0.28000000000000003</v>
      </c>
      <c r="G317" s="30">
        <f t="shared" si="49"/>
        <v>0</v>
      </c>
      <c r="H317" s="30">
        <f t="shared" si="49"/>
        <v>0</v>
      </c>
      <c r="I317" s="30">
        <f t="shared" si="49"/>
        <v>0</v>
      </c>
      <c r="J317" s="31">
        <f>SUM(D317:I317)</f>
        <v>8716.4</v>
      </c>
      <c r="K317" s="8"/>
      <c r="L317" s="8"/>
    </row>
    <row r="318" spans="1:12" ht="15.75" thickTop="1">
      <c r="A318" s="8"/>
      <c r="B318" s="8"/>
      <c r="C318" s="8"/>
      <c r="D318" s="20"/>
      <c r="E318" s="20"/>
      <c r="F318" s="15"/>
      <c r="G318" s="15"/>
      <c r="H318" s="15"/>
      <c r="I318" s="15"/>
      <c r="J318" s="20"/>
      <c r="K318" s="8"/>
      <c r="L318" s="8"/>
    </row>
    <row r="319" spans="1:12">
      <c r="A319" s="8"/>
      <c r="B319" s="8"/>
      <c r="C319" s="8"/>
      <c r="D319" s="20"/>
      <c r="E319" s="20"/>
      <c r="F319" s="15"/>
      <c r="G319" s="15"/>
      <c r="H319" s="15"/>
      <c r="I319" s="15"/>
      <c r="J319" s="20"/>
      <c r="K319" s="8"/>
      <c r="L319" s="8"/>
    </row>
    <row r="320" spans="1:12">
      <c r="A320" s="8">
        <v>70</v>
      </c>
      <c r="B320" s="8" t="s">
        <v>65</v>
      </c>
      <c r="C320" s="8" t="s">
        <v>12</v>
      </c>
      <c r="D320" s="25">
        <f>8928.29+1989.65</f>
        <v>10917.94</v>
      </c>
      <c r="E320" s="45">
        <v>0</v>
      </c>
      <c r="F320" s="24">
        <v>0</v>
      </c>
      <c r="G320" s="24">
        <v>0</v>
      </c>
      <c r="H320" s="24">
        <v>0</v>
      </c>
      <c r="I320" s="24">
        <v>0</v>
      </c>
      <c r="J320" s="25">
        <f>SUM(D320:I320)</f>
        <v>10917.94</v>
      </c>
      <c r="K320" s="8"/>
      <c r="L320" s="8"/>
    </row>
    <row r="321" spans="1:12" ht="15.75" hidden="1" thickBot="1">
      <c r="A321" s="8"/>
      <c r="B321" s="8"/>
      <c r="C321" s="8" t="s">
        <v>78</v>
      </c>
      <c r="D321" s="29"/>
      <c r="E321" s="34"/>
      <c r="F321" s="28"/>
      <c r="G321" s="28"/>
      <c r="H321" s="28"/>
      <c r="I321" s="28"/>
      <c r="J321" s="29">
        <f>SUM(D321:I321)</f>
        <v>0</v>
      </c>
      <c r="K321" s="8"/>
      <c r="L321" s="8"/>
    </row>
    <row r="322" spans="1:12">
      <c r="A322" s="8"/>
      <c r="B322" s="8"/>
      <c r="C322" s="8"/>
      <c r="D322" s="20"/>
      <c r="E322" s="35"/>
      <c r="F322" s="15"/>
      <c r="G322" s="15"/>
      <c r="H322" s="15"/>
      <c r="I322" s="15"/>
      <c r="J322" s="20"/>
      <c r="K322" s="8"/>
      <c r="L322" s="8"/>
    </row>
    <row r="323" spans="1:12" ht="15.75" thickBot="1">
      <c r="A323" s="8"/>
      <c r="B323" s="8"/>
      <c r="C323" s="8" t="s">
        <v>10</v>
      </c>
      <c r="D323" s="31">
        <f t="shared" ref="D323:I323" si="50">SUM(D320:D322)</f>
        <v>10917.94</v>
      </c>
      <c r="E323" s="44">
        <f t="shared" si="50"/>
        <v>0</v>
      </c>
      <c r="F323" s="30">
        <f t="shared" si="50"/>
        <v>0</v>
      </c>
      <c r="G323" s="30">
        <f t="shared" si="50"/>
        <v>0</v>
      </c>
      <c r="H323" s="30">
        <f t="shared" si="50"/>
        <v>0</v>
      </c>
      <c r="I323" s="30">
        <f t="shared" si="50"/>
        <v>0</v>
      </c>
      <c r="J323" s="31">
        <f>SUM(D323:I323)</f>
        <v>10917.94</v>
      </c>
      <c r="K323" s="8"/>
      <c r="L323" s="8"/>
    </row>
    <row r="324" spans="1:12" ht="15.75" thickTop="1">
      <c r="A324" s="8"/>
      <c r="B324" s="8"/>
      <c r="C324" s="8"/>
      <c r="D324" s="20"/>
      <c r="E324" s="20"/>
      <c r="F324" s="15"/>
      <c r="G324" s="15"/>
      <c r="H324" s="15"/>
      <c r="I324" s="15"/>
      <c r="J324" s="20"/>
      <c r="K324" s="8"/>
      <c r="L324" s="8"/>
    </row>
    <row r="325" spans="1:12">
      <c r="A325" s="8"/>
      <c r="B325" s="8"/>
      <c r="C325" s="8" t="s">
        <v>66</v>
      </c>
      <c r="D325" s="20">
        <f t="shared" ref="D325:I325" si="51">SUM(D9:D323)/2</f>
        <v>955301.95</v>
      </c>
      <c r="E325" s="20">
        <f t="shared" si="51"/>
        <v>10270.570000000005</v>
      </c>
      <c r="F325" s="15">
        <f t="shared" si="51"/>
        <v>2869.1999999999985</v>
      </c>
      <c r="G325" s="15">
        <f t="shared" si="51"/>
        <v>0</v>
      </c>
      <c r="H325" s="15">
        <f t="shared" si="51"/>
        <v>0</v>
      </c>
      <c r="I325" s="15">
        <f t="shared" si="51"/>
        <v>0</v>
      </c>
      <c r="J325" s="20">
        <f>SUM(D325:I325)</f>
        <v>968441.71999999986</v>
      </c>
      <c r="K325" s="8"/>
      <c r="L325" s="8"/>
    </row>
    <row r="326" spans="1:12">
      <c r="A326" s="8"/>
      <c r="B326" s="8"/>
      <c r="C326" s="8"/>
      <c r="D326" s="20"/>
      <c r="E326" s="20"/>
      <c r="F326" s="15"/>
      <c r="G326" s="8"/>
      <c r="H326" s="8"/>
      <c r="I326" s="8"/>
      <c r="J326" s="20"/>
      <c r="K326" s="8"/>
      <c r="L326" s="8"/>
    </row>
    <row r="327" spans="1:12">
      <c r="A327" s="8"/>
      <c r="B327" s="8"/>
      <c r="C327" s="8"/>
      <c r="D327" s="20"/>
      <c r="E327" s="20"/>
      <c r="F327" s="8"/>
      <c r="G327" s="8"/>
      <c r="H327" s="8"/>
      <c r="I327" s="8"/>
      <c r="J327" s="20"/>
      <c r="K327" s="8"/>
      <c r="L327" s="8"/>
    </row>
  </sheetData>
  <pageMargins left="0.25" right="0.25" top="0.25" bottom="0.25" header="0.5" footer="0.5"/>
  <pageSetup scale="70" fitToHeight="50" orientation="landscape" r:id="rId1"/>
  <headerFooter alignWithMargins="0"/>
  <rowBreaks count="51" manualBreakCount="51">
    <brk id="7" max="65535" man="1"/>
    <brk id="13" max="16383" man="1"/>
    <brk id="19" max="16383" man="1"/>
    <brk id="25" max="16383" man="1"/>
    <brk id="31" max="16383" man="1"/>
    <brk id="37" max="16383" man="1"/>
    <brk id="44" max="16383" man="1"/>
    <brk id="49" max="65535" man="1"/>
    <brk id="57" max="16383" man="1"/>
    <brk id="66" max="16383" man="1"/>
    <brk id="72" max="16383" man="1"/>
    <brk id="78" max="16383" man="1"/>
    <brk id="86" max="16383" man="1"/>
    <brk id="92" max="16383" man="1"/>
    <brk id="100" max="16383" man="1"/>
    <brk id="106" max="16383" man="1"/>
    <brk id="113" max="16383" man="1"/>
    <brk id="118" max="16383" man="1"/>
    <brk id="126" max="16383" man="1"/>
    <brk id="130" max="9" man="1"/>
    <brk id="136" max="16383" man="1"/>
    <brk id="143" max="16383" man="1"/>
    <brk id="149" max="16383" man="1"/>
    <brk id="157" max="16383" man="1"/>
    <brk id="162" max="9" man="1"/>
    <brk id="168" max="16383" man="1"/>
    <brk id="173" max="16383" man="1"/>
    <brk id="178" max="16383" man="1"/>
    <brk id="183" max="16383" man="1"/>
    <brk id="188" max="16383" man="1"/>
    <brk id="194" max="16383" man="1"/>
    <brk id="201" max="16383" man="1"/>
    <brk id="207" max="16383" man="1"/>
    <brk id="215" max="16383" man="1"/>
    <brk id="221" max="16383" man="1"/>
    <brk id="227" max="16383" man="1"/>
    <brk id="233" max="16383" man="1"/>
    <brk id="241" max="16383" man="1"/>
    <brk id="247" max="16383" man="1"/>
    <brk id="253" max="16383" man="1"/>
    <brk id="262" max="16383" man="1"/>
    <brk id="269" max="16383" man="1"/>
    <brk id="275" max="16383" man="1"/>
    <brk id="281" max="16383" man="1"/>
    <brk id="286" max="16383" man="1"/>
    <brk id="292" max="16383" man="1"/>
    <brk id="300" max="16383" man="1"/>
    <brk id="306" max="16383" man="1"/>
    <brk id="312" max="16383" man="1"/>
    <brk id="318" max="16383" man="1"/>
    <brk id="32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autoPageBreaks="0"/>
  </sheetPr>
  <dimension ref="A1:L327"/>
  <sheetViews>
    <sheetView showOutlineSymbols="0" defaultGridColor="0" view="pageBreakPreview" colorId="23" zoomScale="60" zoomScaleNormal="75" workbookViewId="0">
      <selection activeCell="F8" sqref="F8"/>
    </sheetView>
  </sheetViews>
  <sheetFormatPr defaultColWidth="9.6640625" defaultRowHeight="15"/>
  <cols>
    <col min="1" max="1" width="9.6640625" style="10" customWidth="1"/>
    <col min="2" max="2" width="27.44140625" style="10" bestFit="1" customWidth="1"/>
    <col min="3" max="3" width="24.44140625" style="10" bestFit="1" customWidth="1"/>
    <col min="4" max="5" width="12.77734375" style="23" customWidth="1"/>
    <col min="6" max="6" width="12.6640625" style="23" customWidth="1"/>
    <col min="7" max="8" width="11.6640625" style="23" hidden="1" customWidth="1"/>
    <col min="9" max="9" width="9.6640625" style="23" hidden="1" customWidth="1"/>
    <col min="10" max="10" width="14.44140625" style="23" customWidth="1"/>
    <col min="11" max="16384" width="9.6640625" style="10"/>
  </cols>
  <sheetData>
    <row r="1" spans="1:12">
      <c r="A1" s="8"/>
      <c r="B1" s="8"/>
      <c r="C1" s="8"/>
      <c r="D1" s="20"/>
      <c r="E1" s="20"/>
      <c r="F1" s="20"/>
      <c r="G1" s="20"/>
      <c r="H1" s="20"/>
      <c r="I1" s="21"/>
      <c r="J1" s="20"/>
      <c r="K1" s="8"/>
      <c r="L1" s="8"/>
    </row>
    <row r="2" spans="1:12">
      <c r="A2" s="8"/>
      <c r="B2" s="8"/>
      <c r="C2" s="8"/>
      <c r="D2" s="20"/>
      <c r="E2" s="20"/>
      <c r="F2" s="20"/>
      <c r="G2" s="20"/>
      <c r="H2" s="20"/>
      <c r="I2" s="20"/>
      <c r="J2" s="20"/>
      <c r="K2" s="8"/>
      <c r="L2" s="8"/>
    </row>
    <row r="3" spans="1:12">
      <c r="A3" s="8"/>
      <c r="B3" s="8"/>
      <c r="C3" s="8"/>
      <c r="D3" s="20"/>
      <c r="E3" s="20"/>
      <c r="F3" s="20"/>
      <c r="G3" s="20"/>
      <c r="H3" s="20"/>
      <c r="I3" s="20"/>
      <c r="J3" s="20"/>
      <c r="K3" s="8"/>
      <c r="L3" s="8"/>
    </row>
    <row r="4" spans="1:12" ht="15.75">
      <c r="A4" s="8"/>
      <c r="B4" s="11" t="s">
        <v>1</v>
      </c>
      <c r="C4" s="9"/>
      <c r="D4" s="21"/>
      <c r="E4" s="21"/>
      <c r="F4" s="21"/>
      <c r="G4" s="21"/>
      <c r="H4" s="21"/>
      <c r="I4" s="21"/>
      <c r="J4" s="21"/>
      <c r="K4" s="8"/>
      <c r="L4" s="8"/>
    </row>
    <row r="5" spans="1:12" ht="15.75">
      <c r="A5" s="8"/>
      <c r="B5" s="11" t="s">
        <v>119</v>
      </c>
      <c r="C5" s="9"/>
      <c r="D5" s="21"/>
      <c r="E5" s="21"/>
      <c r="F5" s="21"/>
      <c r="G5" s="21"/>
      <c r="H5" s="21"/>
      <c r="I5" s="21"/>
      <c r="J5" s="21"/>
      <c r="K5" s="8"/>
      <c r="L5" s="8"/>
    </row>
    <row r="6" spans="1:12">
      <c r="A6" s="8"/>
      <c r="B6" s="8"/>
      <c r="C6" s="8"/>
      <c r="D6" s="20"/>
      <c r="E6" s="20"/>
      <c r="F6" s="20"/>
      <c r="G6" s="20"/>
      <c r="H6" s="20"/>
      <c r="I6" s="20"/>
      <c r="J6" s="20"/>
      <c r="K6" s="8"/>
      <c r="L6" s="8"/>
    </row>
    <row r="7" spans="1:12">
      <c r="A7" s="8"/>
      <c r="B7" s="12" t="s">
        <v>3</v>
      </c>
      <c r="C7" s="12" t="s">
        <v>4</v>
      </c>
      <c r="D7" s="51" t="s">
        <v>120</v>
      </c>
      <c r="E7" s="51" t="s">
        <v>121</v>
      </c>
      <c r="F7" s="52" t="s">
        <v>122</v>
      </c>
      <c r="G7" s="22">
        <v>2011</v>
      </c>
      <c r="H7" s="22">
        <v>2010</v>
      </c>
      <c r="I7" s="49">
        <v>2009</v>
      </c>
      <c r="J7" s="22" t="s">
        <v>10</v>
      </c>
      <c r="K7" s="8"/>
      <c r="L7" s="8"/>
    </row>
    <row r="8" spans="1:12">
      <c r="A8" s="8"/>
      <c r="B8" s="8"/>
      <c r="C8" s="8"/>
      <c r="D8" s="20"/>
      <c r="E8" s="20"/>
      <c r="F8" s="20"/>
      <c r="G8" s="20"/>
      <c r="H8" s="20"/>
      <c r="I8" s="20"/>
      <c r="J8" s="20"/>
      <c r="K8" s="8"/>
      <c r="L8" s="8"/>
    </row>
    <row r="9" spans="1:12">
      <c r="A9" s="8">
        <v>21</v>
      </c>
      <c r="B9" s="8" t="s">
        <v>11</v>
      </c>
      <c r="C9" s="8" t="s">
        <v>12</v>
      </c>
      <c r="D9" s="20">
        <f>15352.32+3818.29</f>
        <v>19170.61</v>
      </c>
      <c r="E9" s="20">
        <v>88.32</v>
      </c>
      <c r="F9" s="20">
        <v>91.69</v>
      </c>
      <c r="G9" s="20">
        <v>0</v>
      </c>
      <c r="H9" s="20">
        <v>0</v>
      </c>
      <c r="I9" s="20">
        <v>0</v>
      </c>
      <c r="J9" s="20">
        <f>SUM(D9:I9)</f>
        <v>19350.62</v>
      </c>
      <c r="K9" s="8"/>
      <c r="L9" s="8"/>
    </row>
    <row r="10" spans="1:12" ht="15.75" thickBot="1">
      <c r="A10" s="8"/>
      <c r="B10" s="8"/>
      <c r="C10" s="8" t="s">
        <v>13</v>
      </c>
      <c r="D10" s="29">
        <f>366.75+91.21</f>
        <v>457.96</v>
      </c>
      <c r="E10" s="29">
        <v>2.23</v>
      </c>
      <c r="F10" s="29">
        <v>2.21</v>
      </c>
      <c r="G10" s="29">
        <v>0</v>
      </c>
      <c r="H10" s="29">
        <v>0</v>
      </c>
      <c r="I10" s="29">
        <v>0</v>
      </c>
      <c r="J10" s="29">
        <f>SUM(D10:I10)</f>
        <v>462.4</v>
      </c>
      <c r="K10" s="8"/>
      <c r="L10" s="8"/>
    </row>
    <row r="11" spans="1:12">
      <c r="A11" s="8"/>
      <c r="B11" s="8"/>
      <c r="C11" s="8"/>
      <c r="D11" s="20"/>
      <c r="E11" s="20"/>
      <c r="F11" s="20"/>
      <c r="G11" s="20"/>
      <c r="H11" s="20"/>
      <c r="I11" s="20"/>
      <c r="J11" s="20"/>
      <c r="K11" s="8"/>
      <c r="L11" s="8"/>
    </row>
    <row r="12" spans="1:12" ht="15.75" thickBot="1">
      <c r="A12" s="8"/>
      <c r="B12" s="8"/>
      <c r="C12" s="8" t="s">
        <v>10</v>
      </c>
      <c r="D12" s="31">
        <f t="shared" ref="D12:I12" si="0">SUM(D9:D10)</f>
        <v>19628.57</v>
      </c>
      <c r="E12" s="31">
        <f t="shared" si="0"/>
        <v>90.55</v>
      </c>
      <c r="F12" s="31">
        <f t="shared" si="0"/>
        <v>93.899999999999991</v>
      </c>
      <c r="G12" s="31">
        <f t="shared" si="0"/>
        <v>0</v>
      </c>
      <c r="H12" s="31">
        <f t="shared" si="0"/>
        <v>0</v>
      </c>
      <c r="I12" s="31">
        <f t="shared" si="0"/>
        <v>0</v>
      </c>
      <c r="J12" s="31">
        <f>SUM(D12:I12)</f>
        <v>19813.02</v>
      </c>
      <c r="K12" s="8"/>
      <c r="L12" s="8"/>
    </row>
    <row r="13" spans="1:12" ht="15.75" thickTop="1">
      <c r="A13" s="8"/>
      <c r="B13" s="8"/>
      <c r="C13" s="8"/>
      <c r="D13" s="20"/>
      <c r="E13" s="20"/>
      <c r="F13" s="20"/>
      <c r="G13" s="20"/>
      <c r="H13" s="20"/>
      <c r="I13" s="20"/>
      <c r="J13" s="20"/>
      <c r="K13" s="8"/>
      <c r="L13" s="8"/>
    </row>
    <row r="14" spans="1:12">
      <c r="A14" s="8"/>
      <c r="B14" s="8"/>
      <c r="C14" s="8"/>
      <c r="D14" s="20"/>
      <c r="E14" s="20"/>
      <c r="F14" s="20"/>
      <c r="G14" s="20"/>
      <c r="H14" s="20"/>
      <c r="I14" s="20"/>
      <c r="J14" s="20"/>
      <c r="K14" s="8"/>
      <c r="L14" s="8"/>
    </row>
    <row r="15" spans="1:12">
      <c r="A15" s="8">
        <v>22</v>
      </c>
      <c r="B15" s="8" t="s">
        <v>15</v>
      </c>
      <c r="C15" s="8" t="s">
        <v>12</v>
      </c>
      <c r="D15" s="20">
        <f>8937.65+2329.54</f>
        <v>11267.189999999999</v>
      </c>
      <c r="E15" s="20">
        <v>93.21</v>
      </c>
      <c r="F15" s="20">
        <v>42.93</v>
      </c>
      <c r="G15" s="20">
        <v>0</v>
      </c>
      <c r="H15" s="20">
        <v>0</v>
      </c>
      <c r="I15" s="20">
        <v>0</v>
      </c>
      <c r="J15" s="20">
        <f>SUM(D15:I15)</f>
        <v>11403.329999999998</v>
      </c>
      <c r="K15" s="8"/>
      <c r="L15" s="8"/>
    </row>
    <row r="16" spans="1:12" ht="15.75" thickBot="1">
      <c r="A16" s="8"/>
      <c r="B16" s="8"/>
      <c r="C16" s="8" t="s">
        <v>13</v>
      </c>
      <c r="D16" s="29">
        <f>366.79+95.6</f>
        <v>462.39</v>
      </c>
      <c r="E16" s="29">
        <v>4.49</v>
      </c>
      <c r="F16" s="29">
        <v>1.03</v>
      </c>
      <c r="G16" s="29">
        <v>0</v>
      </c>
      <c r="H16" s="29">
        <v>0</v>
      </c>
      <c r="I16" s="29">
        <v>0</v>
      </c>
      <c r="J16" s="29">
        <f>SUM(D16:I16)</f>
        <v>467.90999999999997</v>
      </c>
      <c r="K16" s="8"/>
      <c r="L16" s="8"/>
    </row>
    <row r="17" spans="1:12">
      <c r="A17" s="8"/>
      <c r="B17" s="8"/>
      <c r="C17" s="8"/>
      <c r="D17" s="20"/>
      <c r="E17" s="20"/>
      <c r="F17" s="20"/>
      <c r="G17" s="20"/>
      <c r="H17" s="20"/>
      <c r="I17" s="20"/>
      <c r="J17" s="20"/>
      <c r="K17" s="8"/>
      <c r="L17" s="8"/>
    </row>
    <row r="18" spans="1:12" ht="15.75" thickBot="1">
      <c r="A18" s="8"/>
      <c r="B18" s="8"/>
      <c r="C18" s="8" t="s">
        <v>10</v>
      </c>
      <c r="D18" s="31">
        <f t="shared" ref="D18:I18" si="1">SUM(D15:D16)</f>
        <v>11729.579999999998</v>
      </c>
      <c r="E18" s="31">
        <f t="shared" si="1"/>
        <v>97.699999999999989</v>
      </c>
      <c r="F18" s="31">
        <f t="shared" si="1"/>
        <v>43.96</v>
      </c>
      <c r="G18" s="31">
        <f t="shared" si="1"/>
        <v>0</v>
      </c>
      <c r="H18" s="31">
        <f t="shared" si="1"/>
        <v>0</v>
      </c>
      <c r="I18" s="31">
        <f t="shared" si="1"/>
        <v>0</v>
      </c>
      <c r="J18" s="31">
        <f>SUM(D18:I18)</f>
        <v>11871.239999999998</v>
      </c>
      <c r="K18" s="8"/>
      <c r="L18" s="8"/>
    </row>
    <row r="19" spans="1:12" ht="15.75" thickTop="1">
      <c r="A19" s="8"/>
      <c r="B19" s="8"/>
      <c r="C19" s="8"/>
      <c r="D19" s="20"/>
      <c r="E19" s="20"/>
      <c r="F19" s="20"/>
      <c r="G19" s="20"/>
      <c r="H19" s="20"/>
      <c r="I19" s="20"/>
      <c r="J19" s="20"/>
      <c r="K19" s="8"/>
      <c r="L19" s="8"/>
    </row>
    <row r="20" spans="1:12">
      <c r="A20" s="8"/>
      <c r="B20" s="8"/>
      <c r="C20" s="8"/>
      <c r="D20" s="20"/>
      <c r="E20" s="20"/>
      <c r="F20" s="20"/>
      <c r="G20" s="20"/>
      <c r="H20" s="20"/>
      <c r="I20" s="20"/>
      <c r="J20" s="20"/>
      <c r="K20" s="8"/>
      <c r="L20" s="8"/>
    </row>
    <row r="21" spans="1:12" ht="15.75" thickBot="1">
      <c r="A21" s="8">
        <v>23</v>
      </c>
      <c r="B21" s="8" t="s">
        <v>16</v>
      </c>
      <c r="C21" s="8" t="s">
        <v>12</v>
      </c>
      <c r="D21" s="29">
        <f>10935.22+3170.38</f>
        <v>14105.599999999999</v>
      </c>
      <c r="E21" s="50">
        <v>84.88</v>
      </c>
      <c r="F21" s="29">
        <v>84.72</v>
      </c>
      <c r="G21" s="29">
        <v>0</v>
      </c>
      <c r="H21" s="29">
        <v>0</v>
      </c>
      <c r="I21" s="29">
        <v>0</v>
      </c>
      <c r="J21" s="29">
        <f>SUM(D21:I21)</f>
        <v>14275.199999999997</v>
      </c>
      <c r="K21" s="8"/>
      <c r="L21" s="8"/>
    </row>
    <row r="22" spans="1:12" ht="15.75" hidden="1" thickBot="1">
      <c r="A22" s="8"/>
      <c r="B22" s="8"/>
      <c r="C22" s="8" t="s">
        <v>13</v>
      </c>
      <c r="D22" s="29"/>
      <c r="E22" s="29"/>
      <c r="F22" s="29"/>
      <c r="G22" s="29"/>
      <c r="H22" s="29"/>
      <c r="I22" s="29"/>
      <c r="J22" s="29">
        <f>SUM(D22:I22)</f>
        <v>0</v>
      </c>
      <c r="K22" s="8"/>
      <c r="L22" s="8"/>
    </row>
    <row r="23" spans="1:12">
      <c r="A23" s="8"/>
      <c r="B23" s="8"/>
      <c r="C23" s="8"/>
      <c r="D23" s="20"/>
      <c r="E23" s="20"/>
      <c r="F23" s="20"/>
      <c r="G23" s="20"/>
      <c r="H23" s="20"/>
      <c r="I23" s="20"/>
      <c r="J23" s="20"/>
      <c r="K23" s="8"/>
      <c r="L23" s="8"/>
    </row>
    <row r="24" spans="1:12" ht="15.75" thickBot="1">
      <c r="A24" s="8"/>
      <c r="B24" s="8"/>
      <c r="C24" s="8" t="s">
        <v>10</v>
      </c>
      <c r="D24" s="31">
        <f t="shared" ref="D24:I24" si="2">SUM(D21:D22)</f>
        <v>14105.599999999999</v>
      </c>
      <c r="E24" s="31">
        <f t="shared" si="2"/>
        <v>84.88</v>
      </c>
      <c r="F24" s="31">
        <f t="shared" si="2"/>
        <v>84.72</v>
      </c>
      <c r="G24" s="31">
        <f t="shared" si="2"/>
        <v>0</v>
      </c>
      <c r="H24" s="31">
        <f t="shared" si="2"/>
        <v>0</v>
      </c>
      <c r="I24" s="31">
        <f t="shared" si="2"/>
        <v>0</v>
      </c>
      <c r="J24" s="31">
        <f>SUM(D24:I24)</f>
        <v>14275.199999999997</v>
      </c>
      <c r="K24" s="8"/>
      <c r="L24" s="8"/>
    </row>
    <row r="25" spans="1:12" ht="15.75" thickTop="1">
      <c r="A25" s="8"/>
      <c r="B25" s="8"/>
      <c r="C25" s="8"/>
      <c r="D25" s="20"/>
      <c r="E25" s="20"/>
      <c r="F25" s="20"/>
      <c r="G25" s="20"/>
      <c r="H25" s="20"/>
      <c r="I25" s="20"/>
      <c r="J25" s="20"/>
      <c r="K25" s="8"/>
      <c r="L25" s="8"/>
    </row>
    <row r="26" spans="1:12">
      <c r="A26" s="8"/>
      <c r="B26" s="8"/>
      <c r="C26" s="8"/>
      <c r="D26" s="20"/>
      <c r="E26" s="20"/>
      <c r="F26" s="20"/>
      <c r="G26" s="20"/>
      <c r="H26" s="20"/>
      <c r="I26" s="20"/>
      <c r="J26" s="20"/>
      <c r="K26" s="8"/>
      <c r="L26" s="8"/>
    </row>
    <row r="27" spans="1:12">
      <c r="A27" s="8"/>
      <c r="B27" s="8"/>
      <c r="C27" s="8"/>
      <c r="D27" s="20"/>
      <c r="E27" s="20"/>
      <c r="F27" s="20"/>
      <c r="G27" s="20"/>
      <c r="H27" s="20"/>
      <c r="I27" s="20"/>
      <c r="J27" s="20"/>
      <c r="K27" s="8"/>
      <c r="L27" s="8"/>
    </row>
    <row r="28" spans="1:12" ht="15.75" thickBot="1">
      <c r="A28" s="8">
        <v>24</v>
      </c>
      <c r="B28" s="8" t="s">
        <v>17</v>
      </c>
      <c r="C28" s="8" t="s">
        <v>12</v>
      </c>
      <c r="D28" s="29">
        <f>6038.27+1680.88</f>
        <v>7719.1500000000005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f>SUM(D28:I28)</f>
        <v>7719.1500000000005</v>
      </c>
      <c r="K28" s="8"/>
      <c r="L28" s="8"/>
    </row>
    <row r="29" spans="1:12">
      <c r="A29" s="8"/>
      <c r="B29" s="8"/>
      <c r="C29" s="8"/>
      <c r="D29" s="20"/>
      <c r="E29" s="20"/>
      <c r="F29" s="20"/>
      <c r="G29" s="20"/>
      <c r="H29" s="20"/>
      <c r="I29" s="20"/>
      <c r="J29" s="20"/>
      <c r="K29" s="8"/>
      <c r="L29" s="8"/>
    </row>
    <row r="30" spans="1:12" ht="15.75" thickBot="1">
      <c r="A30" s="8"/>
      <c r="B30" s="8"/>
      <c r="C30" s="8" t="s">
        <v>10</v>
      </c>
      <c r="D30" s="31">
        <f t="shared" ref="D30:I30" si="3">SUM(D28:D29)</f>
        <v>7719.1500000000005</v>
      </c>
      <c r="E30" s="31">
        <f t="shared" si="3"/>
        <v>0</v>
      </c>
      <c r="F30" s="31">
        <f t="shared" si="3"/>
        <v>0</v>
      </c>
      <c r="G30" s="31">
        <f t="shared" si="3"/>
        <v>0</v>
      </c>
      <c r="H30" s="31">
        <f t="shared" si="3"/>
        <v>0</v>
      </c>
      <c r="I30" s="31">
        <f t="shared" si="3"/>
        <v>0</v>
      </c>
      <c r="J30" s="31">
        <f>SUM(D30:I30)</f>
        <v>7719.1500000000005</v>
      </c>
      <c r="K30" s="8"/>
      <c r="L30" s="8"/>
    </row>
    <row r="31" spans="1:12" ht="15.75" thickTop="1">
      <c r="A31" s="8"/>
      <c r="B31" s="8"/>
      <c r="C31" s="8"/>
      <c r="D31" s="20"/>
      <c r="E31" s="20"/>
      <c r="F31" s="20"/>
      <c r="G31" s="20"/>
      <c r="H31" s="20"/>
      <c r="I31" s="20"/>
      <c r="J31" s="20"/>
      <c r="K31" s="8"/>
      <c r="L31" s="8"/>
    </row>
    <row r="32" spans="1:12">
      <c r="A32" s="8"/>
      <c r="B32" s="8"/>
      <c r="C32" s="8"/>
      <c r="D32" s="20"/>
      <c r="E32" s="20"/>
      <c r="F32" s="20"/>
      <c r="G32" s="20"/>
      <c r="H32" s="20"/>
      <c r="I32" s="20"/>
      <c r="J32" s="20"/>
      <c r="K32" s="8"/>
      <c r="L32" s="8"/>
    </row>
    <row r="33" spans="1:12">
      <c r="A33" s="8"/>
      <c r="B33" s="8"/>
      <c r="C33" s="8"/>
      <c r="D33" s="20"/>
      <c r="E33" s="20"/>
      <c r="F33" s="20"/>
      <c r="G33" s="20"/>
      <c r="H33" s="20"/>
      <c r="I33" s="20"/>
      <c r="J33" s="20"/>
      <c r="K33" s="8"/>
      <c r="L33" s="8"/>
    </row>
    <row r="34" spans="1:12" ht="15.75" thickBot="1">
      <c r="A34" s="8">
        <v>25</v>
      </c>
      <c r="B34" s="8" t="s">
        <v>18</v>
      </c>
      <c r="C34" s="8" t="s">
        <v>12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f>SUM(D34:I34)</f>
        <v>0</v>
      </c>
      <c r="K34" s="8"/>
      <c r="L34" s="8"/>
    </row>
    <row r="35" spans="1:12">
      <c r="A35" s="8"/>
      <c r="B35" s="8"/>
      <c r="C35" s="8"/>
      <c r="D35" s="20"/>
      <c r="E35" s="20"/>
      <c r="F35" s="20"/>
      <c r="G35" s="20"/>
      <c r="H35" s="20"/>
      <c r="I35" s="20"/>
      <c r="J35" s="20"/>
      <c r="K35" s="8"/>
      <c r="L35" s="8"/>
    </row>
    <row r="36" spans="1:12" ht="15.75" thickBot="1">
      <c r="A36" s="8"/>
      <c r="B36" s="8"/>
      <c r="C36" s="8" t="s">
        <v>10</v>
      </c>
      <c r="D36" s="31">
        <f t="shared" ref="D36:I36" si="4">SUM(D34:D35)</f>
        <v>0</v>
      </c>
      <c r="E36" s="31">
        <f t="shared" si="4"/>
        <v>0</v>
      </c>
      <c r="F36" s="31">
        <f t="shared" si="4"/>
        <v>0</v>
      </c>
      <c r="G36" s="31">
        <f t="shared" si="4"/>
        <v>0</v>
      </c>
      <c r="H36" s="31">
        <f t="shared" si="4"/>
        <v>0</v>
      </c>
      <c r="I36" s="31">
        <f t="shared" si="4"/>
        <v>0</v>
      </c>
      <c r="J36" s="31">
        <f>SUM(D36:I36)</f>
        <v>0</v>
      </c>
      <c r="K36" s="8"/>
      <c r="L36" s="8"/>
    </row>
    <row r="37" spans="1:12" ht="15.75" thickTop="1">
      <c r="A37" s="8"/>
      <c r="B37" s="8"/>
      <c r="C37" s="8"/>
      <c r="D37" s="20"/>
      <c r="E37" s="20"/>
      <c r="F37" s="20"/>
      <c r="G37" s="20"/>
      <c r="H37" s="20"/>
      <c r="I37" s="20"/>
      <c r="J37" s="20"/>
      <c r="K37" s="8"/>
      <c r="L37" s="8"/>
    </row>
    <row r="38" spans="1:12">
      <c r="A38" s="8"/>
      <c r="B38" s="8"/>
      <c r="C38" s="8"/>
      <c r="D38" s="20"/>
      <c r="E38" s="20"/>
      <c r="F38" s="20"/>
      <c r="G38" s="20"/>
      <c r="H38" s="20"/>
      <c r="I38" s="20"/>
      <c r="J38" s="20"/>
      <c r="K38" s="8"/>
      <c r="L38" s="8"/>
    </row>
    <row r="39" spans="1:12">
      <c r="A39" s="8"/>
      <c r="B39" s="8"/>
      <c r="C39" s="8"/>
      <c r="D39" s="20"/>
      <c r="E39" s="20"/>
      <c r="F39" s="20"/>
      <c r="G39" s="20"/>
      <c r="H39" s="20"/>
      <c r="I39" s="20"/>
      <c r="J39" s="20"/>
      <c r="K39" s="8"/>
      <c r="L39" s="8"/>
    </row>
    <row r="40" spans="1:12" ht="15.75" thickBot="1">
      <c r="A40" s="8">
        <v>26</v>
      </c>
      <c r="B40" s="8" t="s">
        <v>19</v>
      </c>
      <c r="C40" s="8" t="s">
        <v>12</v>
      </c>
      <c r="D40" s="29">
        <f>12287.17+3120.3</f>
        <v>15407.470000000001</v>
      </c>
      <c r="E40" s="29">
        <v>16.23</v>
      </c>
      <c r="F40" s="29">
        <v>0</v>
      </c>
      <c r="G40" s="29">
        <v>0</v>
      </c>
      <c r="H40" s="29">
        <v>0</v>
      </c>
      <c r="I40" s="29">
        <v>0</v>
      </c>
      <c r="J40" s="29">
        <f>SUM(D40:I40)</f>
        <v>15423.7</v>
      </c>
      <c r="K40" s="8"/>
      <c r="L40" s="8"/>
    </row>
    <row r="41" spans="1:12" ht="15.75" hidden="1" thickBot="1">
      <c r="A41" s="8"/>
      <c r="B41" s="8"/>
      <c r="C41" s="8" t="s">
        <v>13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f>SUM(D41:I41)</f>
        <v>0</v>
      </c>
      <c r="K41" s="8"/>
      <c r="L41" s="8"/>
    </row>
    <row r="42" spans="1:12">
      <c r="A42" s="8"/>
      <c r="B42" s="8"/>
      <c r="C42" s="8"/>
      <c r="D42" s="20"/>
      <c r="E42" s="20"/>
      <c r="F42" s="20"/>
      <c r="G42" s="20"/>
      <c r="H42" s="20"/>
      <c r="I42" s="20"/>
      <c r="J42" s="20"/>
      <c r="K42" s="8"/>
      <c r="L42" s="8"/>
    </row>
    <row r="43" spans="1:12" ht="15.75" thickBot="1">
      <c r="A43" s="8"/>
      <c r="B43" s="8"/>
      <c r="C43" s="8" t="s">
        <v>10</v>
      </c>
      <c r="D43" s="31">
        <f t="shared" ref="D43:I43" si="5">SUM(D40:D41)</f>
        <v>15407.470000000001</v>
      </c>
      <c r="E43" s="31">
        <f t="shared" si="5"/>
        <v>16.23</v>
      </c>
      <c r="F43" s="31">
        <f t="shared" si="5"/>
        <v>0</v>
      </c>
      <c r="G43" s="31">
        <f t="shared" si="5"/>
        <v>0</v>
      </c>
      <c r="H43" s="31">
        <f t="shared" si="5"/>
        <v>0</v>
      </c>
      <c r="I43" s="31">
        <f t="shared" si="5"/>
        <v>0</v>
      </c>
      <c r="J43" s="31">
        <f>SUM(D43:I43)</f>
        <v>15423.7</v>
      </c>
      <c r="K43" s="8"/>
      <c r="L43" s="8"/>
    </row>
    <row r="44" spans="1:12" ht="15.75" thickTop="1">
      <c r="A44" s="8"/>
      <c r="B44" s="8"/>
      <c r="C44" s="8"/>
      <c r="D44" s="20"/>
      <c r="E44" s="20"/>
      <c r="F44" s="20"/>
      <c r="G44" s="20"/>
      <c r="H44" s="20"/>
      <c r="I44" s="20"/>
      <c r="J44" s="20"/>
      <c r="K44" s="8"/>
      <c r="L44" s="8"/>
    </row>
    <row r="45" spans="1:12">
      <c r="A45" s="8"/>
      <c r="B45" s="8"/>
      <c r="C45" s="8"/>
      <c r="D45" s="20"/>
      <c r="E45" s="20"/>
      <c r="F45" s="20"/>
      <c r="G45" s="20"/>
      <c r="H45" s="20"/>
      <c r="I45" s="20"/>
      <c r="J45" s="20"/>
      <c r="K45" s="8"/>
      <c r="L45" s="8"/>
    </row>
    <row r="46" spans="1:12" ht="15.75" thickBot="1">
      <c r="A46" s="8">
        <v>27</v>
      </c>
      <c r="B46" s="8" t="s">
        <v>20</v>
      </c>
      <c r="C46" s="8" t="s">
        <v>12</v>
      </c>
      <c r="D46" s="29">
        <f>4357.18+1029.77</f>
        <v>5386.9500000000007</v>
      </c>
      <c r="E46" s="29">
        <v>35.82</v>
      </c>
      <c r="F46" s="29">
        <v>48.95</v>
      </c>
      <c r="G46" s="29">
        <v>0</v>
      </c>
      <c r="H46" s="29">
        <v>0</v>
      </c>
      <c r="I46" s="29">
        <v>0</v>
      </c>
      <c r="J46" s="29">
        <f>SUM(D46:I46)</f>
        <v>5471.72</v>
      </c>
      <c r="K46" s="8"/>
      <c r="L46" s="8"/>
    </row>
    <row r="47" spans="1:12">
      <c r="A47" s="8"/>
      <c r="B47" s="8"/>
      <c r="C47" s="8"/>
      <c r="D47" s="20"/>
      <c r="E47" s="20"/>
      <c r="F47" s="20"/>
      <c r="G47" s="20"/>
      <c r="H47" s="20"/>
      <c r="I47" s="20"/>
      <c r="J47" s="20"/>
      <c r="K47" s="8"/>
      <c r="L47" s="8"/>
    </row>
    <row r="48" spans="1:12" ht="15.75" thickBot="1">
      <c r="A48" s="8"/>
      <c r="B48" s="8"/>
      <c r="C48" s="8" t="s">
        <v>10</v>
      </c>
      <c r="D48" s="31">
        <f t="shared" ref="D48:I48" si="6">SUM(D46:D47)</f>
        <v>5386.9500000000007</v>
      </c>
      <c r="E48" s="31">
        <f t="shared" si="6"/>
        <v>35.82</v>
      </c>
      <c r="F48" s="31">
        <f t="shared" si="6"/>
        <v>48.95</v>
      </c>
      <c r="G48" s="31">
        <f t="shared" si="6"/>
        <v>0</v>
      </c>
      <c r="H48" s="31">
        <f t="shared" si="6"/>
        <v>0</v>
      </c>
      <c r="I48" s="31">
        <f t="shared" si="6"/>
        <v>0</v>
      </c>
      <c r="J48" s="31">
        <f>SUM(D48:I48)</f>
        <v>5471.72</v>
      </c>
      <c r="K48" s="8"/>
      <c r="L48" s="8"/>
    </row>
    <row r="49" spans="1:12" ht="15.75" thickTop="1">
      <c r="A49" s="8"/>
      <c r="B49" s="8"/>
      <c r="C49" s="8"/>
      <c r="D49" s="20"/>
      <c r="E49" s="20"/>
      <c r="F49" s="20"/>
      <c r="G49" s="20"/>
      <c r="H49" s="20"/>
      <c r="I49" s="20"/>
      <c r="J49" s="20"/>
      <c r="K49" s="8"/>
      <c r="L49" s="8"/>
    </row>
    <row r="50" spans="1:12">
      <c r="A50" s="8"/>
      <c r="B50" s="8"/>
      <c r="C50" s="8"/>
      <c r="D50" s="20"/>
      <c r="E50" s="20"/>
      <c r="F50" s="20"/>
      <c r="G50" s="20"/>
      <c r="H50" s="20"/>
      <c r="I50" s="20"/>
      <c r="J50" s="20"/>
      <c r="K50" s="8"/>
      <c r="L50" s="8"/>
    </row>
    <row r="51" spans="1:12">
      <c r="A51" s="8"/>
      <c r="B51" s="8"/>
      <c r="C51" s="8"/>
      <c r="D51" s="20"/>
      <c r="E51" s="20"/>
      <c r="F51" s="20"/>
      <c r="G51" s="20"/>
      <c r="H51" s="20"/>
      <c r="I51" s="20"/>
      <c r="J51" s="20"/>
      <c r="K51" s="8"/>
      <c r="L51" s="8"/>
    </row>
    <row r="52" spans="1:12">
      <c r="A52" s="8"/>
      <c r="B52" s="8"/>
      <c r="C52" s="8"/>
      <c r="D52" s="20"/>
      <c r="E52" s="20"/>
      <c r="F52" s="20"/>
      <c r="G52" s="20"/>
      <c r="H52" s="20"/>
      <c r="I52" s="20"/>
      <c r="J52" s="20"/>
      <c r="K52" s="8"/>
      <c r="L52" s="8"/>
    </row>
    <row r="53" spans="1:12" ht="15.75" thickBot="1">
      <c r="A53" s="8">
        <v>28</v>
      </c>
      <c r="B53" s="8" t="s">
        <v>21</v>
      </c>
      <c r="C53" s="8" t="s">
        <v>12</v>
      </c>
      <c r="D53" s="29">
        <f>13670.97+3508.76</f>
        <v>17179.73</v>
      </c>
      <c r="E53" s="29">
        <v>743.8</v>
      </c>
      <c r="F53" s="29">
        <v>0</v>
      </c>
      <c r="G53" s="29">
        <v>0</v>
      </c>
      <c r="H53" s="29">
        <v>0</v>
      </c>
      <c r="I53" s="29">
        <v>0</v>
      </c>
      <c r="J53" s="29">
        <f>SUM(D53:I53)</f>
        <v>17923.53</v>
      </c>
      <c r="K53" s="8"/>
      <c r="L53" s="8"/>
    </row>
    <row r="54" spans="1:12" ht="15.75" hidden="1" thickBot="1">
      <c r="A54" s="8"/>
      <c r="B54" s="8"/>
      <c r="C54" s="8" t="s">
        <v>13</v>
      </c>
      <c r="D54" s="29"/>
      <c r="E54" s="29"/>
      <c r="F54" s="29"/>
      <c r="G54" s="29"/>
      <c r="H54" s="29"/>
      <c r="I54" s="29"/>
      <c r="J54" s="29">
        <f>SUM(D54:I54)</f>
        <v>0</v>
      </c>
      <c r="K54" s="8"/>
      <c r="L54" s="8"/>
    </row>
    <row r="55" spans="1:12">
      <c r="A55" s="8"/>
      <c r="B55" s="8"/>
      <c r="C55" s="8"/>
      <c r="D55" s="20"/>
      <c r="E55" s="20"/>
      <c r="F55" s="20"/>
      <c r="G55" s="20"/>
      <c r="H55" s="20"/>
      <c r="I55" s="20"/>
      <c r="J55" s="20"/>
      <c r="K55" s="8"/>
      <c r="L55" s="8"/>
    </row>
    <row r="56" spans="1:12" ht="15.75" thickBot="1">
      <c r="A56" s="8"/>
      <c r="B56" s="8"/>
      <c r="C56" s="8" t="s">
        <v>10</v>
      </c>
      <c r="D56" s="31">
        <f t="shared" ref="D56:I56" si="7">SUM(D53:D54)</f>
        <v>17179.73</v>
      </c>
      <c r="E56" s="31">
        <f t="shared" si="7"/>
        <v>743.8</v>
      </c>
      <c r="F56" s="31">
        <f t="shared" si="7"/>
        <v>0</v>
      </c>
      <c r="G56" s="31">
        <f t="shared" si="7"/>
        <v>0</v>
      </c>
      <c r="H56" s="31">
        <f t="shared" si="7"/>
        <v>0</v>
      </c>
      <c r="I56" s="31">
        <f t="shared" si="7"/>
        <v>0</v>
      </c>
      <c r="J56" s="31">
        <f>SUM(D56:I56)</f>
        <v>17923.53</v>
      </c>
      <c r="K56" s="8"/>
      <c r="L56" s="8"/>
    </row>
    <row r="57" spans="1:12" ht="15.75" thickTop="1">
      <c r="A57" s="8"/>
      <c r="B57" s="8"/>
      <c r="C57" s="8"/>
      <c r="D57" s="20"/>
      <c r="E57" s="20"/>
      <c r="F57" s="20"/>
      <c r="G57" s="20"/>
      <c r="H57" s="20"/>
      <c r="I57" s="20"/>
      <c r="J57" s="20"/>
      <c r="K57" s="8"/>
      <c r="L57" s="8"/>
    </row>
    <row r="58" spans="1:12">
      <c r="A58" s="8"/>
      <c r="B58" s="8"/>
      <c r="C58" s="8"/>
      <c r="D58" s="20"/>
      <c r="E58" s="20"/>
      <c r="F58" s="20"/>
      <c r="G58" s="20"/>
      <c r="H58" s="20"/>
      <c r="I58" s="20"/>
      <c r="J58" s="20"/>
      <c r="K58" s="8"/>
      <c r="L58" s="8"/>
    </row>
    <row r="59" spans="1:12">
      <c r="A59" s="8">
        <v>29</v>
      </c>
      <c r="B59" s="8" t="s">
        <v>22</v>
      </c>
      <c r="C59" s="8" t="s">
        <v>12</v>
      </c>
      <c r="D59" s="20">
        <f>12769.25+4970.8</f>
        <v>17740.05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f>SUM(D59:I59)</f>
        <v>17740.05</v>
      </c>
      <c r="K59" s="8"/>
      <c r="L59" s="8"/>
    </row>
    <row r="60" spans="1:12" hidden="1">
      <c r="A60" s="8"/>
      <c r="B60" s="8"/>
      <c r="C60" s="8" t="s">
        <v>35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f>SUM(D60:I60)</f>
        <v>0</v>
      </c>
      <c r="K60" s="8"/>
      <c r="L60" s="8"/>
    </row>
    <row r="61" spans="1:12">
      <c r="A61" s="8"/>
      <c r="B61" s="8"/>
      <c r="C61" s="8" t="s">
        <v>13</v>
      </c>
      <c r="D61" s="20">
        <f>332.31+129.36</f>
        <v>461.67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f>SUM(D61:I61)</f>
        <v>461.67</v>
      </c>
      <c r="K61" s="8"/>
      <c r="L61" s="8"/>
    </row>
    <row r="62" spans="1:12" hidden="1">
      <c r="A62" s="8"/>
      <c r="B62" s="8"/>
      <c r="C62" s="8" t="s">
        <v>78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f>SUM(D62:I62)</f>
        <v>0</v>
      </c>
      <c r="K62" s="8"/>
      <c r="L62" s="8"/>
    </row>
    <row r="63" spans="1:12" ht="15.75" thickBot="1">
      <c r="A63" s="8"/>
      <c r="B63" s="8"/>
      <c r="C63" s="38" t="s">
        <v>114</v>
      </c>
      <c r="D63" s="29">
        <f>5755.36+2240.44</f>
        <v>7995.7999999999993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f>SUM(D63:I63)</f>
        <v>7995.7999999999993</v>
      </c>
      <c r="K63" s="8"/>
      <c r="L63" s="8"/>
    </row>
    <row r="64" spans="1:12">
      <c r="A64" s="8"/>
      <c r="B64" s="8"/>
      <c r="C64" s="8"/>
      <c r="D64" s="20"/>
      <c r="E64" s="20"/>
      <c r="F64" s="20"/>
      <c r="G64" s="20"/>
      <c r="H64" s="20"/>
      <c r="I64" s="20"/>
      <c r="J64" s="20"/>
      <c r="K64" s="8"/>
      <c r="L64" s="8"/>
    </row>
    <row r="65" spans="1:12" ht="15.75" thickBot="1">
      <c r="A65" s="8"/>
      <c r="B65" s="8"/>
      <c r="C65" s="8" t="s">
        <v>10</v>
      </c>
      <c r="D65" s="31">
        <f t="shared" ref="D65:I65" si="8">SUM(D59:D63)</f>
        <v>26197.519999999997</v>
      </c>
      <c r="E65" s="31">
        <f t="shared" si="8"/>
        <v>0</v>
      </c>
      <c r="F65" s="31">
        <f t="shared" si="8"/>
        <v>0</v>
      </c>
      <c r="G65" s="31">
        <f t="shared" si="8"/>
        <v>0</v>
      </c>
      <c r="H65" s="31">
        <f t="shared" si="8"/>
        <v>0</v>
      </c>
      <c r="I65" s="31">
        <f t="shared" si="8"/>
        <v>0</v>
      </c>
      <c r="J65" s="31">
        <f>SUM(D65:I65)</f>
        <v>26197.519999999997</v>
      </c>
      <c r="K65" s="8"/>
      <c r="L65" s="8"/>
    </row>
    <row r="66" spans="1:12" ht="15.75" thickTop="1">
      <c r="A66" s="8"/>
      <c r="B66" s="8"/>
      <c r="C66" s="8"/>
      <c r="D66" s="20"/>
      <c r="E66" s="20"/>
      <c r="F66" s="20"/>
      <c r="G66" s="20"/>
      <c r="H66" s="20"/>
      <c r="I66" s="20"/>
      <c r="J66" s="20"/>
      <c r="K66" s="8"/>
      <c r="L66" s="8"/>
    </row>
    <row r="67" spans="1:12">
      <c r="A67" s="8"/>
      <c r="B67" s="8"/>
      <c r="C67" s="8"/>
      <c r="D67" s="20"/>
      <c r="E67" s="20"/>
      <c r="F67" s="20"/>
      <c r="G67" s="20"/>
      <c r="H67" s="20"/>
      <c r="I67" s="20"/>
      <c r="J67" s="20"/>
      <c r="K67" s="8"/>
      <c r="L67" s="8"/>
    </row>
    <row r="68" spans="1:12">
      <c r="A68" s="8">
        <v>30</v>
      </c>
      <c r="B68" s="8" t="s">
        <v>23</v>
      </c>
      <c r="C68" s="8" t="s">
        <v>12</v>
      </c>
      <c r="D68" s="20">
        <f>8457.92+2233.29</f>
        <v>10691.21</v>
      </c>
      <c r="E68" s="20">
        <v>69.95</v>
      </c>
      <c r="F68" s="20">
        <v>48.05</v>
      </c>
      <c r="G68" s="20">
        <v>0</v>
      </c>
      <c r="H68" s="20">
        <v>0</v>
      </c>
      <c r="I68" s="20">
        <v>0</v>
      </c>
      <c r="J68" s="20">
        <f>SUM(D68:I68)</f>
        <v>10809.21</v>
      </c>
      <c r="K68" s="8"/>
      <c r="L68" s="8"/>
    </row>
    <row r="69" spans="1:12" ht="15.75" thickBot="1">
      <c r="A69" s="8"/>
      <c r="B69" s="8"/>
      <c r="C69" s="38" t="s">
        <v>116</v>
      </c>
      <c r="D69" s="29">
        <f>14373.75+3795.35</f>
        <v>18169.099999999999</v>
      </c>
      <c r="E69" s="29">
        <v>124.36</v>
      </c>
      <c r="F69" s="29">
        <v>90.29</v>
      </c>
      <c r="G69" s="29">
        <v>0</v>
      </c>
      <c r="H69" s="29">
        <v>0</v>
      </c>
      <c r="I69" s="29">
        <v>0</v>
      </c>
      <c r="J69" s="29">
        <f>SUM(D69:I69)</f>
        <v>18383.75</v>
      </c>
      <c r="K69" s="8"/>
      <c r="L69" s="8"/>
    </row>
    <row r="70" spans="1:12">
      <c r="A70" s="8"/>
      <c r="B70" s="8"/>
      <c r="C70" s="8"/>
      <c r="D70" s="20"/>
      <c r="E70" s="20"/>
      <c r="F70" s="20"/>
      <c r="G70" s="20"/>
      <c r="H70" s="20"/>
      <c r="I70" s="20"/>
      <c r="J70" s="20"/>
      <c r="K70" s="8"/>
      <c r="L70" s="8"/>
    </row>
    <row r="71" spans="1:12" ht="15.75" thickBot="1">
      <c r="A71" s="8"/>
      <c r="B71" s="8"/>
      <c r="C71" s="15" t="s">
        <v>10</v>
      </c>
      <c r="D71" s="31">
        <f t="shared" ref="D71:I71" si="9">SUM(D68:D69)</f>
        <v>28860.309999999998</v>
      </c>
      <c r="E71" s="31">
        <f t="shared" si="9"/>
        <v>194.31</v>
      </c>
      <c r="F71" s="31">
        <f t="shared" si="9"/>
        <v>138.34</v>
      </c>
      <c r="G71" s="31">
        <f t="shared" si="9"/>
        <v>0</v>
      </c>
      <c r="H71" s="31">
        <f t="shared" si="9"/>
        <v>0</v>
      </c>
      <c r="I71" s="31">
        <f t="shared" si="9"/>
        <v>0</v>
      </c>
      <c r="J71" s="31">
        <f>SUM(D71:I71)</f>
        <v>29192.959999999999</v>
      </c>
      <c r="K71" s="8"/>
      <c r="L71" s="8"/>
    </row>
    <row r="72" spans="1:12" ht="15.75" thickTop="1">
      <c r="A72" s="8"/>
      <c r="B72" s="8"/>
      <c r="C72" s="8"/>
      <c r="D72" s="20"/>
      <c r="E72" s="20"/>
      <c r="F72" s="20"/>
      <c r="G72" s="20"/>
      <c r="H72" s="20"/>
      <c r="I72" s="20"/>
      <c r="J72" s="20"/>
      <c r="K72" s="8"/>
      <c r="L72" s="8"/>
    </row>
    <row r="73" spans="1:12">
      <c r="A73" s="8"/>
      <c r="B73" s="8"/>
      <c r="C73" s="8"/>
      <c r="D73" s="20"/>
      <c r="E73" s="20"/>
      <c r="F73" s="20"/>
      <c r="G73" s="20"/>
      <c r="H73" s="20"/>
      <c r="I73" s="20"/>
      <c r="J73" s="20"/>
      <c r="K73" s="8"/>
      <c r="L73" s="8"/>
    </row>
    <row r="74" spans="1:12">
      <c r="A74" s="8">
        <v>31</v>
      </c>
      <c r="B74" s="8" t="s">
        <v>24</v>
      </c>
      <c r="C74" s="8" t="s">
        <v>12</v>
      </c>
      <c r="D74" s="20">
        <f>2746.45+901.27</f>
        <v>3647.72</v>
      </c>
      <c r="E74" s="20">
        <v>37.54</v>
      </c>
      <c r="F74" s="20">
        <v>21.63</v>
      </c>
      <c r="G74" s="20">
        <v>0</v>
      </c>
      <c r="H74" s="20">
        <v>0</v>
      </c>
      <c r="I74" s="20">
        <v>0</v>
      </c>
      <c r="J74" s="20">
        <f>SUM(D74:I74)</f>
        <v>3706.89</v>
      </c>
      <c r="K74" s="8"/>
      <c r="L74" s="8"/>
    </row>
    <row r="75" spans="1:12" ht="15.75" thickBot="1">
      <c r="A75" s="8"/>
      <c r="B75" s="8"/>
      <c r="C75" s="8" t="s">
        <v>13</v>
      </c>
      <c r="D75" s="29">
        <f>68.76+22.57</f>
        <v>91.330000000000013</v>
      </c>
      <c r="E75" s="29">
        <v>0.95</v>
      </c>
      <c r="F75" s="29">
        <v>0.53</v>
      </c>
      <c r="G75" s="29">
        <v>0</v>
      </c>
      <c r="H75" s="29">
        <v>0</v>
      </c>
      <c r="I75" s="29">
        <v>0</v>
      </c>
      <c r="J75" s="29">
        <f>SUM(D75:I75)</f>
        <v>92.810000000000016</v>
      </c>
      <c r="K75" s="8"/>
      <c r="L75" s="8"/>
    </row>
    <row r="76" spans="1:12">
      <c r="A76" s="8"/>
      <c r="B76" s="8"/>
      <c r="C76" s="8"/>
      <c r="D76" s="20"/>
      <c r="E76" s="20"/>
      <c r="F76" s="20"/>
      <c r="G76" s="20"/>
      <c r="H76" s="20"/>
      <c r="I76" s="20"/>
      <c r="J76" s="20"/>
      <c r="K76" s="8"/>
      <c r="L76" s="8"/>
    </row>
    <row r="77" spans="1:12" ht="15.75" thickBot="1">
      <c r="A77" s="8"/>
      <c r="B77" s="8"/>
      <c r="C77" s="8" t="s">
        <v>10</v>
      </c>
      <c r="D77" s="31">
        <f t="shared" ref="D77:I77" si="10">SUM(D74:D75)</f>
        <v>3739.0499999999997</v>
      </c>
      <c r="E77" s="31">
        <f t="shared" si="10"/>
        <v>38.49</v>
      </c>
      <c r="F77" s="31">
        <f t="shared" si="10"/>
        <v>22.16</v>
      </c>
      <c r="G77" s="31">
        <f t="shared" si="10"/>
        <v>0</v>
      </c>
      <c r="H77" s="31">
        <f t="shared" si="10"/>
        <v>0</v>
      </c>
      <c r="I77" s="31">
        <f t="shared" si="10"/>
        <v>0</v>
      </c>
      <c r="J77" s="31">
        <f>SUM(D77:I77)</f>
        <v>3799.6999999999994</v>
      </c>
      <c r="K77" s="8"/>
      <c r="L77" s="8"/>
    </row>
    <row r="78" spans="1:12" ht="15.75" thickTop="1">
      <c r="A78" s="8"/>
      <c r="B78" s="8"/>
      <c r="C78" s="8"/>
      <c r="D78" s="20"/>
      <c r="E78" s="20"/>
      <c r="F78" s="20"/>
      <c r="G78" s="20"/>
      <c r="H78" s="20"/>
      <c r="I78" s="20"/>
      <c r="J78" s="20"/>
      <c r="K78" s="8"/>
      <c r="L78" s="8"/>
    </row>
    <row r="79" spans="1:12">
      <c r="A79" s="8"/>
      <c r="B79" s="8"/>
      <c r="C79" s="8"/>
      <c r="D79" s="20"/>
      <c r="E79" s="20"/>
      <c r="F79" s="20"/>
      <c r="G79" s="20"/>
      <c r="H79" s="20"/>
      <c r="I79" s="20"/>
      <c r="J79" s="20"/>
      <c r="K79" s="8"/>
      <c r="L79" s="8"/>
    </row>
    <row r="80" spans="1:12">
      <c r="A80" s="8">
        <v>32</v>
      </c>
      <c r="B80" s="8" t="s">
        <v>25</v>
      </c>
      <c r="C80" s="8" t="s">
        <v>12</v>
      </c>
      <c r="D80" s="20">
        <f>15862.53+4104.32</f>
        <v>19966.849999999999</v>
      </c>
      <c r="E80" s="20">
        <v>152.19</v>
      </c>
      <c r="F80" s="20">
        <v>0</v>
      </c>
      <c r="G80" s="20">
        <v>0</v>
      </c>
      <c r="H80" s="20">
        <v>0</v>
      </c>
      <c r="I80" s="20">
        <v>0</v>
      </c>
      <c r="J80" s="20">
        <f>SUM(D80:I80)</f>
        <v>20119.039999999997</v>
      </c>
      <c r="K80" s="8"/>
      <c r="L80" s="8"/>
    </row>
    <row r="81" spans="1:12" ht="15.75" thickBot="1">
      <c r="A81" s="8"/>
      <c r="B81" s="8"/>
      <c r="C81" s="8" t="s">
        <v>13</v>
      </c>
      <c r="D81" s="29">
        <f>378.94+98.05</f>
        <v>476.99</v>
      </c>
      <c r="E81" s="29">
        <v>3.94</v>
      </c>
      <c r="F81" s="29">
        <v>0</v>
      </c>
      <c r="G81" s="29">
        <v>0</v>
      </c>
      <c r="H81" s="29">
        <v>0</v>
      </c>
      <c r="I81" s="29">
        <v>0</v>
      </c>
      <c r="J81" s="29">
        <f>SUM(D81:I81)</f>
        <v>480.93</v>
      </c>
      <c r="K81" s="8"/>
      <c r="L81" s="8"/>
    </row>
    <row r="82" spans="1:12" hidden="1">
      <c r="A82" s="8"/>
      <c r="B82" s="8"/>
      <c r="C82" s="8" t="s">
        <v>73</v>
      </c>
      <c r="D82" s="20"/>
      <c r="E82" s="20"/>
      <c r="F82" s="20"/>
      <c r="G82" s="20"/>
      <c r="H82" s="20"/>
      <c r="I82" s="20"/>
      <c r="J82" s="20">
        <f>SUM(D82:I82)</f>
        <v>0</v>
      </c>
      <c r="K82" s="8"/>
      <c r="L82" s="8"/>
    </row>
    <row r="83" spans="1:12" ht="15.75" hidden="1" thickBot="1">
      <c r="A83" s="8"/>
      <c r="B83" s="8"/>
      <c r="C83" s="8" t="s">
        <v>78</v>
      </c>
      <c r="D83" s="29"/>
      <c r="E83" s="29"/>
      <c r="F83" s="29"/>
      <c r="G83" s="29"/>
      <c r="H83" s="29"/>
      <c r="I83" s="29"/>
      <c r="J83" s="29">
        <f>SUM(D83:I83)</f>
        <v>0</v>
      </c>
      <c r="K83" s="8"/>
      <c r="L83" s="8"/>
    </row>
    <row r="84" spans="1:12">
      <c r="A84" s="8"/>
      <c r="B84" s="8"/>
      <c r="C84" s="8"/>
      <c r="D84" s="20"/>
      <c r="E84" s="20"/>
      <c r="F84" s="20"/>
      <c r="G84" s="20"/>
      <c r="H84" s="20"/>
      <c r="I84" s="20"/>
      <c r="J84" s="20"/>
      <c r="K84" s="8"/>
      <c r="L84" s="8"/>
    </row>
    <row r="85" spans="1:12" ht="15.75" thickBot="1">
      <c r="A85" s="8"/>
      <c r="B85" s="8"/>
      <c r="C85" s="8" t="s">
        <v>10</v>
      </c>
      <c r="D85" s="31">
        <f t="shared" ref="D85:I85" si="11">SUM(D80:D83)</f>
        <v>20443.84</v>
      </c>
      <c r="E85" s="31">
        <f t="shared" si="11"/>
        <v>156.13</v>
      </c>
      <c r="F85" s="31">
        <f t="shared" si="11"/>
        <v>0</v>
      </c>
      <c r="G85" s="31">
        <f t="shared" si="11"/>
        <v>0</v>
      </c>
      <c r="H85" s="31">
        <f t="shared" si="11"/>
        <v>0</v>
      </c>
      <c r="I85" s="31">
        <f t="shared" si="11"/>
        <v>0</v>
      </c>
      <c r="J85" s="31">
        <f>SUM(D85:I85)</f>
        <v>20599.97</v>
      </c>
      <c r="K85" s="8"/>
      <c r="L85" s="8"/>
    </row>
    <row r="86" spans="1:12" ht="15.75" thickTop="1">
      <c r="A86" s="8"/>
      <c r="B86" s="8"/>
      <c r="C86" s="8"/>
      <c r="D86" s="20"/>
      <c r="E86" s="20"/>
      <c r="F86" s="20"/>
      <c r="G86" s="20"/>
      <c r="H86" s="20"/>
      <c r="I86" s="20"/>
      <c r="J86" s="20"/>
      <c r="K86" s="8"/>
      <c r="L86" s="8"/>
    </row>
    <row r="87" spans="1:12">
      <c r="A87" s="8"/>
      <c r="B87" s="8"/>
      <c r="C87" s="8"/>
      <c r="D87" s="20"/>
      <c r="E87" s="20"/>
      <c r="F87" s="20"/>
      <c r="G87" s="20"/>
      <c r="H87" s="20"/>
      <c r="I87" s="20"/>
      <c r="J87" s="20"/>
      <c r="K87" s="8"/>
      <c r="L87" s="8"/>
    </row>
    <row r="88" spans="1:12">
      <c r="A88" s="8">
        <v>33</v>
      </c>
      <c r="B88" s="8" t="s">
        <v>26</v>
      </c>
      <c r="C88" s="8" t="s">
        <v>12</v>
      </c>
      <c r="D88" s="20">
        <f>17326.27+4287.05</f>
        <v>21613.32</v>
      </c>
      <c r="E88" s="20">
        <v>249.69</v>
      </c>
      <c r="F88" s="20">
        <v>50.42</v>
      </c>
      <c r="G88" s="20">
        <v>0</v>
      </c>
      <c r="H88" s="20">
        <v>0</v>
      </c>
      <c r="I88" s="20">
        <v>0</v>
      </c>
      <c r="J88" s="20">
        <f>SUM(D88:I88)</f>
        <v>21913.429999999997</v>
      </c>
      <c r="K88" s="8"/>
      <c r="L88" s="8"/>
    </row>
    <row r="89" spans="1:12" ht="15.75" thickBot="1">
      <c r="A89" s="8"/>
      <c r="B89" s="8"/>
      <c r="C89" s="8" t="s">
        <v>13</v>
      </c>
      <c r="D89" s="29">
        <f>268.28+66.38</f>
        <v>334.65999999999997</v>
      </c>
      <c r="E89" s="29">
        <v>4</v>
      </c>
      <c r="F89" s="29">
        <v>0.79</v>
      </c>
      <c r="G89" s="29">
        <v>0</v>
      </c>
      <c r="H89" s="29">
        <v>0</v>
      </c>
      <c r="I89" s="29">
        <v>0</v>
      </c>
      <c r="J89" s="29">
        <f>SUM(D89:I89)</f>
        <v>339.45</v>
      </c>
      <c r="K89" s="8"/>
      <c r="L89" s="8"/>
    </row>
    <row r="90" spans="1:12">
      <c r="A90" s="8"/>
      <c r="B90" s="8"/>
      <c r="C90" s="8"/>
      <c r="D90" s="20"/>
      <c r="E90" s="20"/>
      <c r="F90" s="20"/>
      <c r="G90" s="20"/>
      <c r="H90" s="20"/>
      <c r="I90" s="20"/>
      <c r="J90" s="20"/>
      <c r="K90" s="8"/>
      <c r="L90" s="8"/>
    </row>
    <row r="91" spans="1:12" ht="15.75" thickBot="1">
      <c r="A91" s="8"/>
      <c r="B91" s="8"/>
      <c r="C91" s="8" t="s">
        <v>10</v>
      </c>
      <c r="D91" s="31">
        <f t="shared" ref="D91:I91" si="12">SUM(D88:D89)</f>
        <v>21947.98</v>
      </c>
      <c r="E91" s="31">
        <f t="shared" si="12"/>
        <v>253.69</v>
      </c>
      <c r="F91" s="31">
        <f t="shared" si="12"/>
        <v>51.21</v>
      </c>
      <c r="G91" s="31">
        <f t="shared" si="12"/>
        <v>0</v>
      </c>
      <c r="H91" s="31">
        <f t="shared" si="12"/>
        <v>0</v>
      </c>
      <c r="I91" s="31">
        <f t="shared" si="12"/>
        <v>0</v>
      </c>
      <c r="J91" s="31">
        <f>SUM(D91:I91)</f>
        <v>22252.879999999997</v>
      </c>
      <c r="K91" s="8"/>
      <c r="L91" s="8"/>
    </row>
    <row r="92" spans="1:12" ht="15.75" thickTop="1">
      <c r="A92" s="8"/>
      <c r="B92" s="8"/>
      <c r="C92" s="8"/>
      <c r="D92" s="20"/>
      <c r="E92" s="20"/>
      <c r="F92" s="20"/>
      <c r="G92" s="20"/>
      <c r="H92" s="20"/>
      <c r="I92" s="20"/>
      <c r="J92" s="20"/>
      <c r="K92" s="8"/>
      <c r="L92" s="8"/>
    </row>
    <row r="93" spans="1:12">
      <c r="A93" s="8"/>
      <c r="B93" s="8"/>
      <c r="C93" s="8"/>
      <c r="D93" s="20"/>
      <c r="E93" s="20"/>
      <c r="F93" s="20"/>
      <c r="G93" s="20"/>
      <c r="H93" s="20"/>
      <c r="I93" s="20"/>
      <c r="J93" s="20"/>
      <c r="K93" s="8"/>
      <c r="L93" s="8"/>
    </row>
    <row r="94" spans="1:12">
      <c r="A94" s="8">
        <v>34</v>
      </c>
      <c r="B94" s="8" t="s">
        <v>27</v>
      </c>
      <c r="C94" s="8" t="s">
        <v>12</v>
      </c>
      <c r="D94" s="20">
        <f>13971.55+3947.38</f>
        <v>17918.93</v>
      </c>
      <c r="E94" s="20">
        <v>120.89</v>
      </c>
      <c r="F94" s="20">
        <v>212.09</v>
      </c>
      <c r="G94" s="20">
        <v>0</v>
      </c>
      <c r="H94" s="20">
        <v>0</v>
      </c>
      <c r="I94" s="20">
        <v>0</v>
      </c>
      <c r="J94" s="20">
        <f>SUM(D94:I94)</f>
        <v>18251.91</v>
      </c>
      <c r="K94" s="8"/>
      <c r="L94" s="8"/>
    </row>
    <row r="95" spans="1:12">
      <c r="A95" s="8"/>
      <c r="B95" s="8"/>
      <c r="C95" s="8" t="s">
        <v>35</v>
      </c>
      <c r="D95" s="20">
        <v>0</v>
      </c>
      <c r="E95" s="20">
        <v>0</v>
      </c>
      <c r="F95" s="20">
        <v>5.89</v>
      </c>
      <c r="G95" s="20">
        <v>0</v>
      </c>
      <c r="H95" s="20">
        <v>0</v>
      </c>
      <c r="I95" s="20">
        <v>0</v>
      </c>
      <c r="J95" s="20">
        <f>SUM(D95:I95)</f>
        <v>5.89</v>
      </c>
      <c r="K95" s="8"/>
      <c r="L95" s="8"/>
    </row>
    <row r="96" spans="1:12">
      <c r="A96" s="8"/>
      <c r="B96" s="8"/>
      <c r="C96" s="8" t="s">
        <v>13</v>
      </c>
      <c r="D96" s="20">
        <f>380.33+107.46</f>
        <v>487.78999999999996</v>
      </c>
      <c r="E96" s="20">
        <v>3.06</v>
      </c>
      <c r="F96" s="20">
        <v>2.23</v>
      </c>
      <c r="G96" s="20">
        <v>0</v>
      </c>
      <c r="H96" s="20">
        <v>0</v>
      </c>
      <c r="I96" s="20">
        <v>0</v>
      </c>
      <c r="J96" s="20">
        <f>SUM(D96:I96)</f>
        <v>493.08</v>
      </c>
      <c r="K96" s="8"/>
      <c r="L96" s="8"/>
    </row>
    <row r="97" spans="1:12" ht="15.75" thickBot="1">
      <c r="A97" s="8"/>
      <c r="B97" s="8"/>
      <c r="C97" s="8" t="s">
        <v>78</v>
      </c>
      <c r="D97" s="29">
        <v>0</v>
      </c>
      <c r="E97" s="29">
        <v>0</v>
      </c>
      <c r="F97" s="29">
        <v>11.19</v>
      </c>
      <c r="G97" s="29">
        <v>0</v>
      </c>
      <c r="H97" s="29">
        <v>0</v>
      </c>
      <c r="I97" s="29">
        <v>0</v>
      </c>
      <c r="J97" s="29">
        <f>SUM(D97:I97)</f>
        <v>11.19</v>
      </c>
      <c r="K97" s="8"/>
      <c r="L97" s="8"/>
    </row>
    <row r="98" spans="1:12">
      <c r="A98" s="8"/>
      <c r="B98" s="8"/>
      <c r="C98" s="8"/>
      <c r="D98" s="20"/>
      <c r="E98" s="20"/>
      <c r="F98" s="20"/>
      <c r="G98" s="20"/>
      <c r="H98" s="20"/>
      <c r="I98" s="20"/>
      <c r="J98" s="20"/>
      <c r="K98" s="8"/>
      <c r="L98" s="8"/>
    </row>
    <row r="99" spans="1:12" ht="15.75" thickBot="1">
      <c r="A99" s="8"/>
      <c r="B99" s="8"/>
      <c r="C99" s="8" t="s">
        <v>10</v>
      </c>
      <c r="D99" s="31">
        <f t="shared" ref="D99:I99" si="13">SUM(D94:D98)</f>
        <v>18406.72</v>
      </c>
      <c r="E99" s="31">
        <f t="shared" si="13"/>
        <v>123.95</v>
      </c>
      <c r="F99" s="31">
        <f t="shared" si="13"/>
        <v>231.39999999999998</v>
      </c>
      <c r="G99" s="31">
        <f t="shared" si="13"/>
        <v>0</v>
      </c>
      <c r="H99" s="31">
        <f t="shared" si="13"/>
        <v>0</v>
      </c>
      <c r="I99" s="31">
        <f t="shared" si="13"/>
        <v>0</v>
      </c>
      <c r="J99" s="31">
        <f>SUM(D99:I99)</f>
        <v>18762.070000000003</v>
      </c>
      <c r="K99" s="8"/>
      <c r="L99" s="8"/>
    </row>
    <row r="100" spans="1:12" ht="15.75" thickTop="1">
      <c r="A100" s="8"/>
      <c r="B100" s="8"/>
      <c r="C100" s="8"/>
      <c r="D100" s="20"/>
      <c r="E100" s="20"/>
      <c r="F100" s="20"/>
      <c r="G100" s="20"/>
      <c r="H100" s="20"/>
      <c r="I100" s="20"/>
      <c r="J100" s="20"/>
      <c r="K100" s="8"/>
      <c r="L100" s="8"/>
    </row>
    <row r="101" spans="1:12">
      <c r="A101" s="8"/>
      <c r="B101" s="8"/>
      <c r="C101" s="8"/>
      <c r="D101" s="20"/>
      <c r="E101" s="20"/>
      <c r="F101" s="20"/>
      <c r="G101" s="20"/>
      <c r="H101" s="20"/>
      <c r="I101" s="20"/>
      <c r="J101" s="20"/>
      <c r="K101" s="8"/>
      <c r="L101" s="8"/>
    </row>
    <row r="102" spans="1:12">
      <c r="A102" s="8">
        <v>35</v>
      </c>
      <c r="B102" s="8" t="s">
        <v>28</v>
      </c>
      <c r="C102" s="8" t="s">
        <v>12</v>
      </c>
      <c r="D102" s="20">
        <f>10135.11+2140.21</f>
        <v>12275.32</v>
      </c>
      <c r="E102" s="20">
        <v>138.16999999999999</v>
      </c>
      <c r="F102" s="20">
        <v>47.62</v>
      </c>
      <c r="G102" s="20">
        <v>0</v>
      </c>
      <c r="H102" s="20">
        <v>0</v>
      </c>
      <c r="I102" s="20">
        <v>0</v>
      </c>
      <c r="J102" s="20">
        <f>SUM(D102:I102)</f>
        <v>12461.11</v>
      </c>
      <c r="K102" s="8"/>
      <c r="L102" s="8"/>
    </row>
    <row r="103" spans="1:12" ht="15.75" thickBot="1">
      <c r="A103" s="8"/>
      <c r="B103" s="8"/>
      <c r="C103" s="38" t="s">
        <v>116</v>
      </c>
      <c r="D103" s="29">
        <f>5874.74+1240.56</f>
        <v>7115.2999999999993</v>
      </c>
      <c r="E103" s="29">
        <v>79.98</v>
      </c>
      <c r="F103" s="29">
        <v>29.57</v>
      </c>
      <c r="G103" s="29"/>
      <c r="H103" s="29"/>
      <c r="I103" s="29"/>
      <c r="J103" s="29">
        <f>SUM(D103:I103)</f>
        <v>7224.8499999999985</v>
      </c>
      <c r="K103" s="8"/>
      <c r="L103" s="8"/>
    </row>
    <row r="104" spans="1:12">
      <c r="A104" s="8"/>
      <c r="B104" s="8"/>
      <c r="C104" s="8"/>
      <c r="D104" s="20"/>
      <c r="E104" s="20"/>
      <c r="F104" s="20"/>
      <c r="G104" s="20"/>
      <c r="H104" s="20"/>
      <c r="I104" s="20"/>
      <c r="J104" s="20"/>
      <c r="K104" s="8"/>
      <c r="L104" s="8"/>
    </row>
    <row r="105" spans="1:12" ht="15.75" thickBot="1">
      <c r="A105" s="8"/>
      <c r="B105" s="8"/>
      <c r="C105" s="8" t="s">
        <v>10</v>
      </c>
      <c r="D105" s="31">
        <f t="shared" ref="D105:I105" si="14">SUM(D102:D104)</f>
        <v>19390.62</v>
      </c>
      <c r="E105" s="31">
        <f t="shared" si="14"/>
        <v>218.14999999999998</v>
      </c>
      <c r="F105" s="31">
        <f t="shared" si="14"/>
        <v>77.19</v>
      </c>
      <c r="G105" s="31">
        <f t="shared" si="14"/>
        <v>0</v>
      </c>
      <c r="H105" s="31">
        <f t="shared" si="14"/>
        <v>0</v>
      </c>
      <c r="I105" s="31">
        <f t="shared" si="14"/>
        <v>0</v>
      </c>
      <c r="J105" s="31">
        <f>SUM(D105:I105)</f>
        <v>19685.96</v>
      </c>
      <c r="K105" s="8"/>
      <c r="L105" s="8"/>
    </row>
    <row r="106" spans="1:12" ht="15.75" thickTop="1">
      <c r="A106" s="8"/>
      <c r="B106" s="8"/>
      <c r="C106" s="8"/>
      <c r="D106" s="20"/>
      <c r="E106" s="20"/>
      <c r="F106" s="20"/>
      <c r="G106" s="20"/>
      <c r="H106" s="20"/>
      <c r="I106" s="20"/>
      <c r="J106" s="20"/>
      <c r="K106" s="8"/>
      <c r="L106" s="8"/>
    </row>
    <row r="107" spans="1:12">
      <c r="A107" s="8"/>
      <c r="B107" s="8"/>
      <c r="C107" s="8"/>
      <c r="D107" s="20"/>
      <c r="E107" s="20"/>
      <c r="F107" s="20"/>
      <c r="G107" s="20"/>
      <c r="H107" s="20"/>
      <c r="I107" s="20"/>
      <c r="J107" s="20"/>
      <c r="K107" s="8"/>
      <c r="L107" s="8"/>
    </row>
    <row r="108" spans="1:12">
      <c r="A108" s="8">
        <v>36</v>
      </c>
      <c r="B108" s="8" t="s">
        <v>29</v>
      </c>
      <c r="C108" s="8" t="s">
        <v>12</v>
      </c>
      <c r="D108" s="20">
        <f>16215.69+5273.8</f>
        <v>21489.49</v>
      </c>
      <c r="E108" s="20">
        <v>146.38999999999999</v>
      </c>
      <c r="F108" s="20">
        <v>131.07</v>
      </c>
      <c r="G108" s="20">
        <v>0</v>
      </c>
      <c r="H108" s="20">
        <v>0</v>
      </c>
      <c r="I108" s="20">
        <v>0</v>
      </c>
      <c r="J108" s="20">
        <f>SUM(D108:I108)</f>
        <v>21766.95</v>
      </c>
      <c r="K108" s="8"/>
      <c r="L108" s="8"/>
    </row>
    <row r="109" spans="1:12">
      <c r="A109" s="8"/>
      <c r="B109" s="8"/>
      <c r="C109" s="38" t="s">
        <v>13</v>
      </c>
      <c r="D109" s="20">
        <f>220.71+71.78</f>
        <v>292.49</v>
      </c>
      <c r="E109" s="20">
        <v>1.91</v>
      </c>
      <c r="F109" s="20">
        <v>1.59</v>
      </c>
      <c r="G109" s="20">
        <v>0</v>
      </c>
      <c r="H109" s="20">
        <v>0</v>
      </c>
      <c r="I109" s="20">
        <v>0</v>
      </c>
      <c r="J109" s="20">
        <f>SUM(D109:I109)</f>
        <v>295.99</v>
      </c>
      <c r="K109" s="8"/>
      <c r="L109" s="8"/>
    </row>
    <row r="110" spans="1:12" ht="15.75" thickBot="1">
      <c r="A110" s="8"/>
      <c r="B110" s="8"/>
      <c r="C110" s="38" t="s">
        <v>109</v>
      </c>
      <c r="D110" s="29"/>
      <c r="E110" s="29">
        <v>0</v>
      </c>
      <c r="F110" s="29">
        <v>11.18</v>
      </c>
      <c r="G110" s="29">
        <v>0</v>
      </c>
      <c r="H110" s="29">
        <v>0</v>
      </c>
      <c r="I110" s="29">
        <v>0</v>
      </c>
      <c r="J110" s="29">
        <f>SUM(D110:I110)</f>
        <v>11.18</v>
      </c>
      <c r="K110" s="8"/>
      <c r="L110" s="8"/>
    </row>
    <row r="111" spans="1:12">
      <c r="A111" s="8"/>
      <c r="B111" s="8"/>
      <c r="C111" s="8"/>
      <c r="D111" s="20"/>
      <c r="E111" s="20"/>
      <c r="F111" s="20"/>
      <c r="G111" s="20"/>
      <c r="H111" s="20"/>
      <c r="I111" s="20"/>
      <c r="J111" s="20"/>
      <c r="K111" s="8"/>
      <c r="L111" s="8"/>
    </row>
    <row r="112" spans="1:12" ht="15.75" thickBot="1">
      <c r="A112" s="8"/>
      <c r="B112" s="8"/>
      <c r="C112" s="8" t="s">
        <v>10</v>
      </c>
      <c r="D112" s="31">
        <f t="shared" ref="D112:I112" si="15">SUM(D108:D110)</f>
        <v>21781.980000000003</v>
      </c>
      <c r="E112" s="31">
        <f t="shared" si="15"/>
        <v>148.29999999999998</v>
      </c>
      <c r="F112" s="31">
        <f t="shared" si="15"/>
        <v>143.84</v>
      </c>
      <c r="G112" s="31">
        <f t="shared" si="15"/>
        <v>0</v>
      </c>
      <c r="H112" s="31">
        <f t="shared" si="15"/>
        <v>0</v>
      </c>
      <c r="I112" s="31">
        <f t="shared" si="15"/>
        <v>0</v>
      </c>
      <c r="J112" s="31">
        <f>SUM(D112:I112)</f>
        <v>22074.120000000003</v>
      </c>
      <c r="K112" s="8"/>
      <c r="L112" s="8"/>
    </row>
    <row r="113" spans="1:12" ht="15.75" thickTop="1">
      <c r="A113" s="8"/>
      <c r="B113" s="8"/>
      <c r="C113" s="8"/>
      <c r="D113" s="20"/>
      <c r="E113" s="20"/>
      <c r="F113" s="20"/>
      <c r="G113" s="20"/>
      <c r="H113" s="20"/>
      <c r="I113" s="20"/>
      <c r="J113" s="20"/>
      <c r="K113" s="8"/>
      <c r="L113" s="8"/>
    </row>
    <row r="114" spans="1:12">
      <c r="A114" s="8"/>
      <c r="B114" s="8"/>
      <c r="C114" s="8"/>
      <c r="D114" s="20"/>
      <c r="E114" s="20"/>
      <c r="F114" s="20"/>
      <c r="G114" s="20"/>
      <c r="H114" s="20"/>
      <c r="I114" s="20"/>
      <c r="J114" s="20"/>
      <c r="K114" s="8"/>
      <c r="L114" s="8"/>
    </row>
    <row r="115" spans="1:12" ht="15.75" thickBot="1">
      <c r="A115" s="8">
        <v>37</v>
      </c>
      <c r="B115" s="8" t="s">
        <v>30</v>
      </c>
      <c r="C115" s="8" t="s">
        <v>12</v>
      </c>
      <c r="D115" s="29">
        <f>24086.08+5571.5</f>
        <v>29657.58</v>
      </c>
      <c r="E115" s="29">
        <v>2.96</v>
      </c>
      <c r="F115" s="29">
        <v>1.1399999999999999</v>
      </c>
      <c r="G115" s="29">
        <v>0</v>
      </c>
      <c r="H115" s="29">
        <v>0</v>
      </c>
      <c r="I115" s="29">
        <v>0</v>
      </c>
      <c r="J115" s="29">
        <f>SUM(D115:I115)</f>
        <v>29661.68</v>
      </c>
      <c r="K115" s="8"/>
      <c r="L115" s="8"/>
    </row>
    <row r="116" spans="1:12">
      <c r="A116" s="8"/>
      <c r="B116" s="8"/>
      <c r="C116" s="8"/>
      <c r="D116" s="20"/>
      <c r="E116" s="20"/>
      <c r="F116" s="20"/>
      <c r="G116" s="20"/>
      <c r="H116" s="20"/>
      <c r="I116" s="20"/>
      <c r="J116" s="20"/>
      <c r="K116" s="8"/>
      <c r="L116" s="8"/>
    </row>
    <row r="117" spans="1:12" ht="15.75" thickBot="1">
      <c r="A117" s="8"/>
      <c r="B117" s="8"/>
      <c r="C117" s="8" t="s">
        <v>10</v>
      </c>
      <c r="D117" s="31">
        <f t="shared" ref="D117:I117" si="16">SUM(D115:D116)</f>
        <v>29657.58</v>
      </c>
      <c r="E117" s="31">
        <f t="shared" si="16"/>
        <v>2.96</v>
      </c>
      <c r="F117" s="31">
        <f t="shared" si="16"/>
        <v>1.1399999999999999</v>
      </c>
      <c r="G117" s="31">
        <f t="shared" si="16"/>
        <v>0</v>
      </c>
      <c r="H117" s="31">
        <f t="shared" si="16"/>
        <v>0</v>
      </c>
      <c r="I117" s="31">
        <f t="shared" si="16"/>
        <v>0</v>
      </c>
      <c r="J117" s="31">
        <f>SUM(D117:I117)</f>
        <v>29661.68</v>
      </c>
      <c r="K117" s="8"/>
      <c r="L117" s="8"/>
    </row>
    <row r="118" spans="1:12" ht="15.75" thickTop="1">
      <c r="A118" s="8"/>
      <c r="B118" s="8"/>
      <c r="C118" s="8"/>
      <c r="D118" s="20"/>
      <c r="E118" s="20"/>
      <c r="F118" s="20"/>
      <c r="G118" s="20"/>
      <c r="H118" s="20"/>
      <c r="I118" s="20"/>
      <c r="J118" s="20"/>
      <c r="K118" s="8"/>
      <c r="L118" s="8"/>
    </row>
    <row r="119" spans="1:12">
      <c r="A119" s="8"/>
      <c r="B119" s="8"/>
      <c r="C119" s="8"/>
      <c r="D119" s="20"/>
      <c r="E119" s="20"/>
      <c r="F119" s="20"/>
      <c r="G119" s="20"/>
      <c r="H119" s="20"/>
      <c r="I119" s="20"/>
      <c r="J119" s="20"/>
      <c r="K119" s="8"/>
      <c r="L119" s="8"/>
    </row>
    <row r="120" spans="1:12">
      <c r="A120" s="8">
        <v>38</v>
      </c>
      <c r="B120" s="8" t="s">
        <v>31</v>
      </c>
      <c r="C120" s="8" t="s">
        <v>12</v>
      </c>
      <c r="D120" s="20">
        <f>12633.15+3600.17</f>
        <v>16233.32</v>
      </c>
      <c r="E120" s="20">
        <v>150.18</v>
      </c>
      <c r="F120" s="20">
        <v>0</v>
      </c>
      <c r="G120" s="20">
        <v>0</v>
      </c>
      <c r="H120" s="20">
        <v>0</v>
      </c>
      <c r="I120" s="20">
        <v>0</v>
      </c>
      <c r="J120" s="20">
        <f>SUM(D120:I120)</f>
        <v>16383.5</v>
      </c>
      <c r="K120" s="8"/>
      <c r="L120" s="8"/>
    </row>
    <row r="121" spans="1:12" hidden="1">
      <c r="A121" s="8"/>
      <c r="B121" s="8"/>
      <c r="C121" s="8" t="s">
        <v>35</v>
      </c>
      <c r="D121" s="20">
        <v>0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f>SUM(D121:I121)</f>
        <v>0</v>
      </c>
      <c r="K121" s="8"/>
      <c r="L121" s="8"/>
    </row>
    <row r="122" spans="1:12" ht="15.75" thickBot="1">
      <c r="A122" s="8"/>
      <c r="B122" s="8"/>
      <c r="C122" s="8" t="s">
        <v>13</v>
      </c>
      <c r="D122" s="29">
        <f>336.88+96</f>
        <v>432.88</v>
      </c>
      <c r="E122" s="29">
        <v>3.81</v>
      </c>
      <c r="F122" s="29">
        <v>0</v>
      </c>
      <c r="G122" s="29">
        <v>0</v>
      </c>
      <c r="H122" s="29">
        <v>0</v>
      </c>
      <c r="I122" s="29">
        <v>0</v>
      </c>
      <c r="J122" s="29">
        <f>SUM(D122:I122)</f>
        <v>436.69</v>
      </c>
      <c r="K122" s="8"/>
      <c r="L122" s="8"/>
    </row>
    <row r="123" spans="1:12" ht="15.75" hidden="1" thickBot="1">
      <c r="A123" s="8"/>
      <c r="B123" s="8"/>
      <c r="C123" s="8" t="s">
        <v>78</v>
      </c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f>SUM(D123:I123)</f>
        <v>0</v>
      </c>
      <c r="K123" s="8"/>
      <c r="L123" s="8"/>
    </row>
    <row r="124" spans="1:12">
      <c r="A124" s="8"/>
      <c r="B124" s="8"/>
      <c r="C124" s="8"/>
      <c r="D124" s="20"/>
      <c r="E124" s="20"/>
      <c r="F124" s="20"/>
      <c r="G124" s="20"/>
      <c r="H124" s="20"/>
      <c r="I124" s="20"/>
      <c r="J124" s="20"/>
      <c r="K124" s="8"/>
      <c r="L124" s="8"/>
    </row>
    <row r="125" spans="1:12" ht="15.75" thickBot="1">
      <c r="A125" s="8"/>
      <c r="B125" s="8"/>
      <c r="C125" s="8" t="s">
        <v>10</v>
      </c>
      <c r="D125" s="31">
        <f t="shared" ref="D125:I125" si="17">SUM(D120:D123)</f>
        <v>16666.2</v>
      </c>
      <c r="E125" s="31">
        <f t="shared" si="17"/>
        <v>153.99</v>
      </c>
      <c r="F125" s="31">
        <f t="shared" si="17"/>
        <v>0</v>
      </c>
      <c r="G125" s="31">
        <f t="shared" si="17"/>
        <v>0</v>
      </c>
      <c r="H125" s="31">
        <f t="shared" si="17"/>
        <v>0</v>
      </c>
      <c r="I125" s="31">
        <f t="shared" si="17"/>
        <v>0</v>
      </c>
      <c r="J125" s="31">
        <f>SUM(D125:I125)</f>
        <v>16820.190000000002</v>
      </c>
      <c r="K125" s="8"/>
      <c r="L125" s="8"/>
    </row>
    <row r="126" spans="1:12" ht="15.75" thickTop="1">
      <c r="A126" s="8"/>
      <c r="B126" s="8"/>
      <c r="C126" s="8"/>
      <c r="D126" s="20"/>
      <c r="E126" s="20"/>
      <c r="F126" s="20"/>
      <c r="G126" s="20"/>
      <c r="H126" s="20"/>
      <c r="I126" s="20"/>
      <c r="J126" s="20"/>
      <c r="K126" s="8"/>
      <c r="L126" s="8"/>
    </row>
    <row r="127" spans="1:12">
      <c r="A127" s="8"/>
      <c r="B127" s="8"/>
      <c r="C127" s="8"/>
      <c r="D127" s="20"/>
      <c r="E127" s="20"/>
      <c r="F127" s="20"/>
      <c r="G127" s="20"/>
      <c r="H127" s="20"/>
      <c r="I127" s="20"/>
      <c r="J127" s="20"/>
      <c r="K127" s="8"/>
      <c r="L127" s="8"/>
    </row>
    <row r="128" spans="1:12" ht="15.75" thickBot="1">
      <c r="A128" s="8">
        <v>39</v>
      </c>
      <c r="B128" s="8" t="s">
        <v>32</v>
      </c>
      <c r="C128" s="8" t="s">
        <v>12</v>
      </c>
      <c r="D128" s="29">
        <v>0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f>SUM(D128:I128)</f>
        <v>0</v>
      </c>
      <c r="K128" s="8"/>
      <c r="L128" s="8"/>
    </row>
    <row r="129" spans="1:12">
      <c r="A129" s="8"/>
      <c r="B129" s="8"/>
      <c r="C129" s="8"/>
      <c r="D129" s="20"/>
      <c r="E129" s="20"/>
      <c r="F129" s="20"/>
      <c r="G129" s="20"/>
      <c r="H129" s="20"/>
      <c r="I129" s="20"/>
      <c r="J129" s="20"/>
      <c r="K129" s="8"/>
      <c r="L129" s="8"/>
    </row>
    <row r="130" spans="1:12" ht="15.75" thickBot="1">
      <c r="A130" s="8"/>
      <c r="B130" s="8"/>
      <c r="C130" s="8" t="s">
        <v>10</v>
      </c>
      <c r="D130" s="31">
        <f>D128</f>
        <v>0</v>
      </c>
      <c r="E130" s="31">
        <f t="shared" ref="E130:J130" si="18">E128</f>
        <v>0</v>
      </c>
      <c r="F130" s="31">
        <f t="shared" si="18"/>
        <v>0</v>
      </c>
      <c r="G130" s="31">
        <f t="shared" si="18"/>
        <v>0</v>
      </c>
      <c r="H130" s="31">
        <f t="shared" si="18"/>
        <v>0</v>
      </c>
      <c r="I130" s="31">
        <f t="shared" si="18"/>
        <v>0</v>
      </c>
      <c r="J130" s="31">
        <f t="shared" si="18"/>
        <v>0</v>
      </c>
      <c r="K130" s="8"/>
      <c r="L130" s="8"/>
    </row>
    <row r="131" spans="1:12" ht="15.75" thickTop="1">
      <c r="A131" s="8"/>
      <c r="B131" s="8"/>
      <c r="C131" s="8"/>
      <c r="D131" s="20"/>
      <c r="E131" s="20"/>
      <c r="F131" s="20"/>
      <c r="G131" s="20"/>
      <c r="H131" s="20"/>
      <c r="I131" s="20"/>
      <c r="J131" s="20"/>
      <c r="K131" s="8"/>
      <c r="L131" s="8"/>
    </row>
    <row r="132" spans="1:12">
      <c r="A132" s="8"/>
      <c r="B132" s="8"/>
      <c r="C132" s="8"/>
      <c r="D132" s="20"/>
      <c r="E132" s="20"/>
      <c r="F132" s="20"/>
      <c r="G132" s="20"/>
      <c r="H132" s="20"/>
      <c r="I132" s="20"/>
      <c r="J132" s="20"/>
      <c r="K132" s="8"/>
      <c r="L132" s="8"/>
    </row>
    <row r="133" spans="1:12" ht="15.75" thickBot="1">
      <c r="A133" s="8">
        <v>40</v>
      </c>
      <c r="B133" s="8" t="s">
        <v>33</v>
      </c>
      <c r="C133" s="8" t="s">
        <v>12</v>
      </c>
      <c r="D133" s="29">
        <f>14486.68+3807.84</f>
        <v>18294.52</v>
      </c>
      <c r="E133" s="29">
        <v>131.22999999999999</v>
      </c>
      <c r="F133" s="29">
        <v>0</v>
      </c>
      <c r="G133" s="29">
        <v>0</v>
      </c>
      <c r="H133" s="29">
        <v>0</v>
      </c>
      <c r="I133" s="29">
        <v>0</v>
      </c>
      <c r="J133" s="29">
        <f>SUM(D133:I133)</f>
        <v>18425.75</v>
      </c>
      <c r="K133" s="8"/>
      <c r="L133" s="8"/>
    </row>
    <row r="134" spans="1:12">
      <c r="A134" s="8"/>
      <c r="B134" s="8"/>
      <c r="C134" s="8"/>
      <c r="D134" s="20"/>
      <c r="E134" s="20"/>
      <c r="F134" s="20"/>
      <c r="G134" s="20"/>
      <c r="H134" s="20"/>
      <c r="I134" s="20"/>
      <c r="J134" s="20"/>
      <c r="K134" s="8"/>
      <c r="L134" s="8"/>
    </row>
    <row r="135" spans="1:12" ht="15.75" thickBot="1">
      <c r="A135" s="8"/>
      <c r="B135" s="8"/>
      <c r="C135" s="8" t="s">
        <v>10</v>
      </c>
      <c r="D135" s="31">
        <f t="shared" ref="D135:I135" si="19">SUM(D133:D134)</f>
        <v>18294.52</v>
      </c>
      <c r="E135" s="31">
        <f t="shared" si="19"/>
        <v>131.22999999999999</v>
      </c>
      <c r="F135" s="31">
        <f t="shared" si="19"/>
        <v>0</v>
      </c>
      <c r="G135" s="31">
        <f t="shared" si="19"/>
        <v>0</v>
      </c>
      <c r="H135" s="31">
        <f t="shared" si="19"/>
        <v>0</v>
      </c>
      <c r="I135" s="31">
        <f t="shared" si="19"/>
        <v>0</v>
      </c>
      <c r="J135" s="31">
        <f>SUM(D135:I135)</f>
        <v>18425.75</v>
      </c>
      <c r="K135" s="8"/>
      <c r="L135" s="8"/>
    </row>
    <row r="136" spans="1:12" ht="15.75" thickTop="1">
      <c r="A136" s="8"/>
      <c r="B136" s="8"/>
      <c r="C136" s="8"/>
      <c r="D136" s="20"/>
      <c r="E136" s="20"/>
      <c r="F136" s="20"/>
      <c r="G136" s="20"/>
      <c r="H136" s="20"/>
      <c r="I136" s="20"/>
      <c r="J136" s="20"/>
      <c r="K136" s="8"/>
      <c r="L136" s="8"/>
    </row>
    <row r="137" spans="1:12">
      <c r="A137" s="8"/>
      <c r="B137" s="8"/>
      <c r="C137" s="8"/>
      <c r="D137" s="20"/>
      <c r="E137" s="20"/>
      <c r="F137" s="20"/>
      <c r="G137" s="20"/>
      <c r="H137" s="20"/>
      <c r="I137" s="20"/>
      <c r="J137" s="20"/>
      <c r="K137" s="8"/>
      <c r="L137" s="8"/>
    </row>
    <row r="138" spans="1:12" ht="15.75" thickBot="1">
      <c r="A138" s="8">
        <v>41</v>
      </c>
      <c r="B138" s="8" t="s">
        <v>34</v>
      </c>
      <c r="C138" s="8" t="s">
        <v>12</v>
      </c>
      <c r="D138" s="29">
        <f>13193.82+2940.53</f>
        <v>16134.35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29">
        <f>SUM(D138:I138)</f>
        <v>16134.35</v>
      </c>
      <c r="K138" s="8"/>
      <c r="L138" s="8"/>
    </row>
    <row r="139" spans="1:12" hidden="1">
      <c r="A139" s="8"/>
      <c r="B139" s="8"/>
      <c r="C139" s="38" t="s">
        <v>35</v>
      </c>
      <c r="D139" s="20">
        <v>0</v>
      </c>
      <c r="E139" s="20"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f>SUM(D139:I139)</f>
        <v>0</v>
      </c>
      <c r="K139" s="8"/>
      <c r="L139" s="8"/>
    </row>
    <row r="140" spans="1:12" ht="15.75" hidden="1" thickBot="1">
      <c r="A140" s="8"/>
      <c r="B140" s="8"/>
      <c r="C140" s="38" t="s">
        <v>109</v>
      </c>
      <c r="D140" s="29">
        <v>0</v>
      </c>
      <c r="E140" s="29">
        <v>0</v>
      </c>
      <c r="F140" s="29">
        <v>0</v>
      </c>
      <c r="G140" s="29">
        <v>0</v>
      </c>
      <c r="H140" s="29">
        <v>0</v>
      </c>
      <c r="I140" s="29">
        <v>0</v>
      </c>
      <c r="J140" s="29">
        <f>SUM(D140:I140)</f>
        <v>0</v>
      </c>
      <c r="K140" s="8"/>
      <c r="L140" s="8"/>
    </row>
    <row r="141" spans="1:12">
      <c r="A141" s="8"/>
      <c r="B141" s="8"/>
      <c r="C141" s="8"/>
      <c r="D141" s="20"/>
      <c r="E141" s="20"/>
      <c r="F141" s="20"/>
      <c r="G141" s="20"/>
      <c r="H141" s="20"/>
      <c r="I141" s="20"/>
      <c r="J141" s="20"/>
      <c r="K141" s="8"/>
      <c r="L141" s="8"/>
    </row>
    <row r="142" spans="1:12" ht="15.75" thickBot="1">
      <c r="A142" s="8"/>
      <c r="B142" s="8"/>
      <c r="C142" s="8" t="s">
        <v>10</v>
      </c>
      <c r="D142" s="31">
        <f t="shared" ref="D142:I142" si="20">SUM(D138:D140)</f>
        <v>16134.35</v>
      </c>
      <c r="E142" s="31">
        <f t="shared" si="20"/>
        <v>0</v>
      </c>
      <c r="F142" s="31">
        <f t="shared" si="20"/>
        <v>0</v>
      </c>
      <c r="G142" s="31">
        <f t="shared" si="20"/>
        <v>0</v>
      </c>
      <c r="H142" s="31">
        <f t="shared" si="20"/>
        <v>0</v>
      </c>
      <c r="I142" s="31">
        <f t="shared" si="20"/>
        <v>0</v>
      </c>
      <c r="J142" s="31">
        <f>SUM(D142:I142)</f>
        <v>16134.35</v>
      </c>
      <c r="K142" s="8"/>
      <c r="L142" s="8"/>
    </row>
    <row r="143" spans="1:12" ht="15.75" thickTop="1">
      <c r="A143" s="8"/>
      <c r="B143" s="8"/>
      <c r="C143" s="8"/>
      <c r="D143" s="20"/>
      <c r="E143" s="20"/>
      <c r="F143" s="20"/>
      <c r="G143" s="20"/>
      <c r="H143" s="20"/>
      <c r="I143" s="20"/>
      <c r="J143" s="20"/>
      <c r="K143" s="8"/>
      <c r="L143" s="8"/>
    </row>
    <row r="144" spans="1:12">
      <c r="A144" s="8"/>
      <c r="B144" s="8"/>
      <c r="C144" s="8"/>
      <c r="D144" s="20"/>
      <c r="E144" s="20"/>
      <c r="F144" s="20"/>
      <c r="G144" s="20"/>
      <c r="H144" s="20"/>
      <c r="I144" s="20"/>
      <c r="J144" s="20"/>
      <c r="K144" s="8"/>
      <c r="L144" s="8"/>
    </row>
    <row r="145" spans="1:12">
      <c r="A145" s="8">
        <v>42</v>
      </c>
      <c r="B145" s="8" t="s">
        <v>36</v>
      </c>
      <c r="C145" s="8" t="s">
        <v>12</v>
      </c>
      <c r="D145" s="39">
        <f>8148.04+2162.55</f>
        <v>10310.59</v>
      </c>
      <c r="E145" s="20">
        <v>0</v>
      </c>
      <c r="F145" s="39">
        <v>0</v>
      </c>
      <c r="G145" s="20">
        <v>0</v>
      </c>
      <c r="H145" s="20">
        <v>0</v>
      </c>
      <c r="I145" s="20">
        <v>0</v>
      </c>
      <c r="J145" s="20">
        <f>SUM(D145:I145)</f>
        <v>10310.59</v>
      </c>
      <c r="K145" s="8"/>
      <c r="L145" s="8"/>
    </row>
    <row r="146" spans="1:12" ht="15.75" thickBot="1">
      <c r="A146" s="8"/>
      <c r="B146" s="8"/>
      <c r="C146" s="8" t="s">
        <v>13</v>
      </c>
      <c r="D146" s="29">
        <f>1476.31+391.82</f>
        <v>1868.1299999999999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29">
        <f>SUM(D146:I146)</f>
        <v>1868.1299999999999</v>
      </c>
      <c r="K146" s="8"/>
      <c r="L146" s="8"/>
    </row>
    <row r="147" spans="1:12">
      <c r="A147" s="8"/>
      <c r="B147" s="8"/>
      <c r="C147" s="8"/>
      <c r="D147" s="20"/>
      <c r="E147" s="20"/>
      <c r="F147" s="20"/>
      <c r="G147" s="20"/>
      <c r="H147" s="20"/>
      <c r="I147" s="20"/>
      <c r="J147" s="20"/>
      <c r="K147" s="8"/>
      <c r="L147" s="8"/>
    </row>
    <row r="148" spans="1:12" ht="15.75" thickBot="1">
      <c r="A148" s="8"/>
      <c r="B148" s="8"/>
      <c r="C148" s="8" t="s">
        <v>10</v>
      </c>
      <c r="D148" s="31">
        <f t="shared" ref="D148:I148" si="21">SUM(D145:D146)</f>
        <v>12178.72</v>
      </c>
      <c r="E148" s="31">
        <f t="shared" si="21"/>
        <v>0</v>
      </c>
      <c r="F148" s="31">
        <f t="shared" si="21"/>
        <v>0</v>
      </c>
      <c r="G148" s="31">
        <f t="shared" si="21"/>
        <v>0</v>
      </c>
      <c r="H148" s="31">
        <f t="shared" si="21"/>
        <v>0</v>
      </c>
      <c r="I148" s="31">
        <f t="shared" si="21"/>
        <v>0</v>
      </c>
      <c r="J148" s="31">
        <f>SUM(D148:I148)</f>
        <v>12178.72</v>
      </c>
      <c r="K148" s="8"/>
      <c r="L148" s="8"/>
    </row>
    <row r="149" spans="1:12" ht="15.75" thickTop="1">
      <c r="A149" s="8"/>
      <c r="B149" s="8"/>
      <c r="C149" s="8"/>
      <c r="D149" s="20"/>
      <c r="E149" s="20"/>
      <c r="F149" s="20"/>
      <c r="G149" s="20"/>
      <c r="H149" s="20"/>
      <c r="I149" s="20"/>
      <c r="J149" s="20"/>
      <c r="K149" s="8"/>
      <c r="L149" s="8"/>
    </row>
    <row r="150" spans="1:12">
      <c r="A150" s="8"/>
      <c r="B150" s="8"/>
      <c r="C150" s="8"/>
      <c r="D150" s="20"/>
      <c r="E150" s="20"/>
      <c r="F150" s="20"/>
      <c r="G150" s="20"/>
      <c r="H150" s="20"/>
      <c r="I150" s="20"/>
      <c r="J150" s="20"/>
      <c r="K150" s="8"/>
      <c r="L150" s="8"/>
    </row>
    <row r="151" spans="1:12">
      <c r="A151" s="8">
        <v>43</v>
      </c>
      <c r="B151" s="8" t="s">
        <v>37</v>
      </c>
      <c r="C151" s="8" t="s">
        <v>12</v>
      </c>
      <c r="D151" s="20">
        <f>35036.89+9258.05</f>
        <v>44294.94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f>SUM(D151:I151)</f>
        <v>44294.94</v>
      </c>
      <c r="K151" s="8"/>
      <c r="L151" s="8"/>
    </row>
    <row r="152" spans="1:12" hidden="1">
      <c r="A152" s="8"/>
      <c r="B152" s="8"/>
      <c r="C152" s="8" t="s">
        <v>35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f>SUM(D152:I152)</f>
        <v>0</v>
      </c>
      <c r="K152" s="8"/>
      <c r="L152" s="8"/>
    </row>
    <row r="153" spans="1:12" ht="15.75" thickBot="1">
      <c r="A153" s="8"/>
      <c r="B153" s="8"/>
      <c r="C153" s="8" t="s">
        <v>13</v>
      </c>
      <c r="D153" s="29">
        <f>428.58+113.25</f>
        <v>541.82999999999993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29">
        <f>SUM(D153:I153)</f>
        <v>541.82999999999993</v>
      </c>
      <c r="K153" s="8"/>
      <c r="L153" s="8"/>
    </row>
    <row r="154" spans="1:12" ht="15.75" hidden="1" thickBot="1">
      <c r="A154" s="8"/>
      <c r="B154" s="8"/>
      <c r="C154" s="8" t="s">
        <v>78</v>
      </c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f>SUM(D154:I154)</f>
        <v>0</v>
      </c>
      <c r="K154" s="8"/>
      <c r="L154" s="8"/>
    </row>
    <row r="155" spans="1:12">
      <c r="A155" s="8"/>
      <c r="B155" s="8"/>
      <c r="C155" s="8"/>
      <c r="D155" s="20"/>
      <c r="E155" s="20"/>
      <c r="F155" s="20"/>
      <c r="G155" s="20"/>
      <c r="H155" s="20"/>
      <c r="I155" s="20"/>
      <c r="J155" s="20"/>
      <c r="K155" s="8"/>
      <c r="L155" s="8"/>
    </row>
    <row r="156" spans="1:12" ht="15.75" thickBot="1">
      <c r="A156" s="8"/>
      <c r="B156" s="8"/>
      <c r="C156" s="8" t="s">
        <v>10</v>
      </c>
      <c r="D156" s="31">
        <f t="shared" ref="D156:I156" si="22">SUM(D151:D154)</f>
        <v>44836.770000000004</v>
      </c>
      <c r="E156" s="31">
        <f>SUM(E151:E154)</f>
        <v>0</v>
      </c>
      <c r="F156" s="31">
        <f t="shared" si="22"/>
        <v>0</v>
      </c>
      <c r="G156" s="31">
        <f t="shared" si="22"/>
        <v>0</v>
      </c>
      <c r="H156" s="31">
        <f t="shared" si="22"/>
        <v>0</v>
      </c>
      <c r="I156" s="31">
        <f t="shared" si="22"/>
        <v>0</v>
      </c>
      <c r="J156" s="31">
        <f>SUM(D156:I156)</f>
        <v>44836.770000000004</v>
      </c>
      <c r="K156" s="8"/>
      <c r="L156" s="8"/>
    </row>
    <row r="157" spans="1:12" ht="15.75" thickTop="1">
      <c r="A157" s="8"/>
      <c r="B157" s="8"/>
      <c r="C157" s="8"/>
      <c r="D157" s="20"/>
      <c r="E157" s="20"/>
      <c r="F157" s="20"/>
      <c r="G157" s="20"/>
      <c r="H157" s="20"/>
      <c r="I157" s="20"/>
      <c r="J157" s="20"/>
      <c r="K157" s="8"/>
      <c r="L157" s="8"/>
    </row>
    <row r="158" spans="1:12">
      <c r="A158" s="8"/>
      <c r="B158" s="8"/>
      <c r="C158" s="8"/>
      <c r="D158" s="20"/>
      <c r="E158" s="20"/>
      <c r="F158" s="20"/>
      <c r="G158" s="20"/>
      <c r="H158" s="20"/>
      <c r="I158" s="20"/>
      <c r="J158" s="20"/>
      <c r="K158" s="8"/>
      <c r="L158" s="8"/>
    </row>
    <row r="159" spans="1:12" ht="15.75" thickBot="1">
      <c r="A159" s="8">
        <v>44</v>
      </c>
      <c r="B159" s="8" t="s">
        <v>38</v>
      </c>
      <c r="C159" s="8" t="s">
        <v>12</v>
      </c>
      <c r="D159" s="29">
        <f>19658.55+4442.56</f>
        <v>24101.11</v>
      </c>
      <c r="E159" s="29">
        <v>53.14</v>
      </c>
      <c r="F159" s="29">
        <v>17.399999999999999</v>
      </c>
      <c r="G159" s="29">
        <v>0</v>
      </c>
      <c r="H159" s="29">
        <v>0</v>
      </c>
      <c r="I159" s="29">
        <v>0</v>
      </c>
      <c r="J159" s="29">
        <f>SUM(D159:I159)</f>
        <v>24171.65</v>
      </c>
      <c r="K159" s="8"/>
      <c r="L159" s="8"/>
    </row>
    <row r="160" spans="1:12">
      <c r="A160" s="8"/>
      <c r="B160" s="8"/>
      <c r="C160" s="8"/>
      <c r="D160" s="20"/>
      <c r="E160" s="20"/>
      <c r="F160" s="20"/>
      <c r="G160" s="20"/>
      <c r="H160" s="20"/>
      <c r="I160" s="20"/>
      <c r="J160" s="20"/>
      <c r="K160" s="8"/>
      <c r="L160" s="8"/>
    </row>
    <row r="161" spans="1:12" ht="15.75" thickBot="1">
      <c r="A161" s="8"/>
      <c r="B161" s="8"/>
      <c r="C161" s="8" t="s">
        <v>10</v>
      </c>
      <c r="D161" s="31">
        <f t="shared" ref="D161:I161" si="23">SUM(D159:D160)</f>
        <v>24101.11</v>
      </c>
      <c r="E161" s="31">
        <f t="shared" si="23"/>
        <v>53.14</v>
      </c>
      <c r="F161" s="31">
        <f t="shared" si="23"/>
        <v>17.399999999999999</v>
      </c>
      <c r="G161" s="31">
        <f t="shared" si="23"/>
        <v>0</v>
      </c>
      <c r="H161" s="31">
        <f t="shared" si="23"/>
        <v>0</v>
      </c>
      <c r="I161" s="31">
        <f t="shared" si="23"/>
        <v>0</v>
      </c>
      <c r="J161" s="31">
        <f>SUM(D161:I161)</f>
        <v>24171.65</v>
      </c>
      <c r="K161" s="8"/>
      <c r="L161" s="8"/>
    </row>
    <row r="162" spans="1:12" ht="15.75" thickTop="1">
      <c r="A162" s="8"/>
      <c r="B162" s="8"/>
      <c r="C162" s="8"/>
      <c r="D162" s="20"/>
      <c r="E162" s="20"/>
      <c r="F162" s="20"/>
      <c r="G162" s="20" t="s">
        <v>70</v>
      </c>
      <c r="H162" s="20" t="s">
        <v>70</v>
      </c>
      <c r="I162" s="20" t="s">
        <v>70</v>
      </c>
      <c r="J162" s="20"/>
      <c r="K162" s="8"/>
      <c r="L162" s="8"/>
    </row>
    <row r="163" spans="1:12">
      <c r="A163" s="8"/>
      <c r="B163" s="8"/>
      <c r="C163" s="8"/>
      <c r="D163" s="20"/>
      <c r="E163" s="20"/>
      <c r="F163" s="20"/>
      <c r="G163" s="20"/>
      <c r="H163" s="20"/>
      <c r="I163" s="20"/>
      <c r="J163" s="20"/>
      <c r="K163" s="8"/>
      <c r="L163" s="8"/>
    </row>
    <row r="164" spans="1:12">
      <c r="A164" s="8">
        <v>45</v>
      </c>
      <c r="B164" s="8" t="s">
        <v>39</v>
      </c>
      <c r="C164" s="8" t="s">
        <v>12</v>
      </c>
      <c r="D164" s="20">
        <f>12088.99+2667.67</f>
        <v>14756.66</v>
      </c>
      <c r="E164" s="20">
        <v>293.58999999999997</v>
      </c>
      <c r="F164" s="20">
        <v>245.56</v>
      </c>
      <c r="G164" s="20">
        <v>0</v>
      </c>
      <c r="H164" s="20">
        <v>0</v>
      </c>
      <c r="I164" s="20">
        <v>0</v>
      </c>
      <c r="J164" s="20">
        <f>SUM(D164:I164)</f>
        <v>15295.81</v>
      </c>
      <c r="K164" s="8"/>
      <c r="L164" s="8"/>
    </row>
    <row r="165" spans="1:12" ht="15.75" thickBot="1">
      <c r="A165" s="8"/>
      <c r="B165" s="8"/>
      <c r="C165" s="38" t="s">
        <v>116</v>
      </c>
      <c r="D165" s="29">
        <f>5312.93+1172.4</f>
        <v>6485.33</v>
      </c>
      <c r="E165" s="29">
        <v>134.19</v>
      </c>
      <c r="F165" s="29">
        <v>114.12</v>
      </c>
      <c r="G165" s="29">
        <v>0</v>
      </c>
      <c r="H165" s="29">
        <v>0</v>
      </c>
      <c r="I165" s="29">
        <v>0</v>
      </c>
      <c r="J165" s="29">
        <f>SUM(D165:I165)</f>
        <v>6733.6399999999994</v>
      </c>
      <c r="K165" s="8"/>
      <c r="L165" s="8"/>
    </row>
    <row r="166" spans="1:12">
      <c r="A166" s="8"/>
      <c r="B166" s="8"/>
      <c r="C166" s="8"/>
      <c r="D166" s="20"/>
      <c r="E166" s="20"/>
      <c r="F166" s="20"/>
      <c r="G166" s="20"/>
      <c r="H166" s="20"/>
      <c r="I166" s="20"/>
      <c r="J166" s="20"/>
      <c r="K166" s="8"/>
      <c r="L166" s="8"/>
    </row>
    <row r="167" spans="1:12" ht="15.75" thickBot="1">
      <c r="A167" s="8"/>
      <c r="B167" s="8"/>
      <c r="C167" s="8" t="s">
        <v>10</v>
      </c>
      <c r="D167" s="31">
        <f t="shared" ref="D167:I167" si="24">SUM(D164:D166)</f>
        <v>21241.989999999998</v>
      </c>
      <c r="E167" s="31">
        <f t="shared" si="24"/>
        <v>427.78</v>
      </c>
      <c r="F167" s="31">
        <f t="shared" si="24"/>
        <v>359.68</v>
      </c>
      <c r="G167" s="31">
        <f t="shared" si="24"/>
        <v>0</v>
      </c>
      <c r="H167" s="31">
        <f t="shared" si="24"/>
        <v>0</v>
      </c>
      <c r="I167" s="31">
        <f t="shared" si="24"/>
        <v>0</v>
      </c>
      <c r="J167" s="31">
        <f>SUM(D167:I167)</f>
        <v>22029.449999999997</v>
      </c>
      <c r="K167" s="8"/>
      <c r="L167" s="8"/>
    </row>
    <row r="168" spans="1:12" ht="15.75" thickTop="1">
      <c r="A168" s="8"/>
      <c r="B168" s="8"/>
      <c r="C168" s="8"/>
      <c r="D168" s="20"/>
      <c r="E168" s="20"/>
      <c r="F168" s="20"/>
      <c r="G168" s="20"/>
      <c r="H168" s="20"/>
      <c r="I168" s="20"/>
      <c r="J168" s="20"/>
      <c r="K168" s="8"/>
      <c r="L168" s="8"/>
    </row>
    <row r="169" spans="1:12">
      <c r="A169" s="8"/>
      <c r="B169" s="8"/>
      <c r="C169" s="8"/>
      <c r="D169" s="20"/>
      <c r="E169" s="20"/>
      <c r="F169" s="20"/>
      <c r="G169" s="20"/>
      <c r="H169" s="20"/>
      <c r="I169" s="20"/>
      <c r="J169" s="20"/>
      <c r="K169" s="8"/>
      <c r="L169" s="8"/>
    </row>
    <row r="170" spans="1:12" ht="15.75" thickBot="1">
      <c r="A170" s="8">
        <v>46</v>
      </c>
      <c r="B170" s="8" t="s">
        <v>40</v>
      </c>
      <c r="C170" s="8" t="s">
        <v>12</v>
      </c>
      <c r="D170" s="29">
        <f>10101.24+2400.03</f>
        <v>12501.27</v>
      </c>
      <c r="E170" s="29">
        <v>27.11</v>
      </c>
      <c r="F170" s="29">
        <v>0</v>
      </c>
      <c r="G170" s="29">
        <v>0</v>
      </c>
      <c r="H170" s="29">
        <v>0</v>
      </c>
      <c r="I170" s="29">
        <v>0</v>
      </c>
      <c r="J170" s="29">
        <f>SUM(D170:I170)</f>
        <v>12528.380000000001</v>
      </c>
      <c r="K170" s="8"/>
      <c r="L170" s="8"/>
    </row>
    <row r="171" spans="1:12">
      <c r="A171" s="8"/>
      <c r="B171" s="8"/>
      <c r="C171" s="8"/>
      <c r="D171" s="20"/>
      <c r="E171" s="20"/>
      <c r="F171" s="20"/>
      <c r="G171" s="20"/>
      <c r="H171" s="20"/>
      <c r="I171" s="20"/>
      <c r="J171" s="20"/>
      <c r="K171" s="8"/>
      <c r="L171" s="8"/>
    </row>
    <row r="172" spans="1:12" ht="15.75" thickBot="1">
      <c r="A172" s="8"/>
      <c r="B172" s="8"/>
      <c r="C172" s="8" t="s">
        <v>10</v>
      </c>
      <c r="D172" s="31">
        <f t="shared" ref="D172:I172" si="25">SUM(D170:D171)</f>
        <v>12501.27</v>
      </c>
      <c r="E172" s="31">
        <f t="shared" si="25"/>
        <v>27.11</v>
      </c>
      <c r="F172" s="31">
        <f t="shared" si="25"/>
        <v>0</v>
      </c>
      <c r="G172" s="31">
        <f t="shared" si="25"/>
        <v>0</v>
      </c>
      <c r="H172" s="31">
        <f t="shared" si="25"/>
        <v>0</v>
      </c>
      <c r="I172" s="31">
        <f t="shared" si="25"/>
        <v>0</v>
      </c>
      <c r="J172" s="31">
        <f>SUM(D172:I172)</f>
        <v>12528.380000000001</v>
      </c>
      <c r="K172" s="8"/>
      <c r="L172" s="8"/>
    </row>
    <row r="173" spans="1:12" ht="15.75" thickTop="1">
      <c r="A173" s="8"/>
      <c r="B173" s="8"/>
      <c r="C173" s="8"/>
      <c r="D173" s="20"/>
      <c r="E173" s="20"/>
      <c r="F173" s="20"/>
      <c r="G173" s="20"/>
      <c r="H173" s="20"/>
      <c r="I173" s="20"/>
      <c r="J173" s="20"/>
      <c r="K173" s="8"/>
      <c r="L173" s="8"/>
    </row>
    <row r="174" spans="1:12">
      <c r="A174" s="8"/>
      <c r="B174" s="8"/>
      <c r="C174" s="8"/>
      <c r="D174" s="20"/>
      <c r="E174" s="20"/>
      <c r="F174" s="20"/>
      <c r="G174" s="20"/>
      <c r="H174" s="20"/>
      <c r="I174" s="20"/>
      <c r="J174" s="20"/>
      <c r="K174" s="8"/>
      <c r="L174" s="8"/>
    </row>
    <row r="175" spans="1:12" ht="15.75" thickBot="1">
      <c r="A175" s="8">
        <v>47</v>
      </c>
      <c r="B175" s="8" t="s">
        <v>41</v>
      </c>
      <c r="C175" s="8" t="s">
        <v>12</v>
      </c>
      <c r="D175" s="29">
        <f>6965.32+1728.97</f>
        <v>8694.2899999999991</v>
      </c>
      <c r="E175" s="29">
        <v>194.48</v>
      </c>
      <c r="F175" s="29">
        <v>0</v>
      </c>
      <c r="G175" s="29">
        <v>0</v>
      </c>
      <c r="H175" s="29">
        <v>0</v>
      </c>
      <c r="I175" s="29">
        <v>0</v>
      </c>
      <c r="J175" s="29">
        <f>SUM(D175:I175)</f>
        <v>8888.7699999999986</v>
      </c>
      <c r="K175" s="8"/>
      <c r="L175" s="8"/>
    </row>
    <row r="176" spans="1:12">
      <c r="A176" s="8"/>
      <c r="B176" s="8"/>
      <c r="C176" s="8"/>
      <c r="D176" s="20"/>
      <c r="E176" s="20"/>
      <c r="F176" s="20"/>
      <c r="G176" s="20"/>
      <c r="H176" s="20"/>
      <c r="I176" s="20"/>
      <c r="J176" s="20"/>
      <c r="K176" s="8"/>
      <c r="L176" s="8"/>
    </row>
    <row r="177" spans="1:12" ht="15.75" thickBot="1">
      <c r="A177" s="8"/>
      <c r="B177" s="8"/>
      <c r="C177" s="8" t="s">
        <v>10</v>
      </c>
      <c r="D177" s="31">
        <f t="shared" ref="D177:I177" si="26">SUM(D175:D176)</f>
        <v>8694.2899999999991</v>
      </c>
      <c r="E177" s="31">
        <f t="shared" si="26"/>
        <v>194.48</v>
      </c>
      <c r="F177" s="31">
        <f t="shared" si="26"/>
        <v>0</v>
      </c>
      <c r="G177" s="31">
        <f t="shared" si="26"/>
        <v>0</v>
      </c>
      <c r="H177" s="31">
        <f t="shared" si="26"/>
        <v>0</v>
      </c>
      <c r="I177" s="31">
        <f t="shared" si="26"/>
        <v>0</v>
      </c>
      <c r="J177" s="31">
        <f>SUM(D177:I177)</f>
        <v>8888.7699999999986</v>
      </c>
      <c r="K177" s="8"/>
      <c r="L177" s="8"/>
    </row>
    <row r="178" spans="1:12" ht="15.75" thickTop="1">
      <c r="A178" s="8"/>
      <c r="B178" s="8"/>
      <c r="C178" s="8"/>
      <c r="D178" s="20"/>
      <c r="E178" s="20"/>
      <c r="F178" s="20"/>
      <c r="G178" s="20"/>
      <c r="H178" s="20"/>
      <c r="I178" s="20"/>
      <c r="J178" s="20"/>
      <c r="K178" s="8"/>
      <c r="L178" s="8"/>
    </row>
    <row r="179" spans="1:12">
      <c r="A179" s="8"/>
      <c r="B179" s="8"/>
      <c r="C179" s="8"/>
      <c r="D179" s="20"/>
      <c r="E179" s="20"/>
      <c r="F179" s="20"/>
      <c r="G179" s="20"/>
      <c r="H179" s="20"/>
      <c r="I179" s="20"/>
      <c r="J179" s="20"/>
      <c r="K179" s="8"/>
      <c r="L179" s="8"/>
    </row>
    <row r="180" spans="1:12" ht="15.75" thickBot="1">
      <c r="A180" s="8">
        <v>48</v>
      </c>
      <c r="B180" s="8" t="s">
        <v>42</v>
      </c>
      <c r="C180" s="8" t="s">
        <v>12</v>
      </c>
      <c r="D180" s="29">
        <f>8151.4+2261.82</f>
        <v>10413.219999999999</v>
      </c>
      <c r="E180" s="29">
        <v>8.99</v>
      </c>
      <c r="F180" s="29">
        <v>0</v>
      </c>
      <c r="G180" s="29">
        <v>0</v>
      </c>
      <c r="H180" s="29">
        <v>0</v>
      </c>
      <c r="I180" s="29">
        <v>0</v>
      </c>
      <c r="J180" s="29">
        <f>SUM(D180:I180)</f>
        <v>10422.209999999999</v>
      </c>
      <c r="K180" s="8"/>
      <c r="L180" s="8"/>
    </row>
    <row r="181" spans="1:12">
      <c r="A181" s="8"/>
      <c r="B181" s="8"/>
      <c r="C181" s="8"/>
      <c r="D181" s="20"/>
      <c r="E181" s="20"/>
      <c r="F181" s="20"/>
      <c r="G181" s="20"/>
      <c r="H181" s="20"/>
      <c r="I181" s="20"/>
      <c r="J181" s="20"/>
      <c r="K181" s="8"/>
      <c r="L181" s="8"/>
    </row>
    <row r="182" spans="1:12" ht="15.75" thickBot="1">
      <c r="A182" s="8"/>
      <c r="B182" s="8"/>
      <c r="C182" s="8"/>
      <c r="D182" s="31">
        <f t="shared" ref="D182:I182" si="27">SUM(D180:D181)</f>
        <v>10413.219999999999</v>
      </c>
      <c r="E182" s="31">
        <f t="shared" si="27"/>
        <v>8.99</v>
      </c>
      <c r="F182" s="31">
        <f t="shared" si="27"/>
        <v>0</v>
      </c>
      <c r="G182" s="31">
        <f t="shared" si="27"/>
        <v>0</v>
      </c>
      <c r="H182" s="31">
        <f t="shared" si="27"/>
        <v>0</v>
      </c>
      <c r="I182" s="31">
        <f t="shared" si="27"/>
        <v>0</v>
      </c>
      <c r="J182" s="31">
        <f>SUM(D182:I182)</f>
        <v>10422.209999999999</v>
      </c>
      <c r="K182" s="8"/>
      <c r="L182" s="8"/>
    </row>
    <row r="183" spans="1:12" ht="15.75" thickTop="1">
      <c r="A183" s="8"/>
      <c r="B183" s="8"/>
      <c r="C183" s="8"/>
      <c r="D183" s="20"/>
      <c r="E183" s="20"/>
      <c r="F183" s="20"/>
      <c r="G183" s="20"/>
      <c r="H183" s="20"/>
      <c r="I183" s="20"/>
      <c r="J183" s="20"/>
      <c r="K183" s="8"/>
      <c r="L183" s="8"/>
    </row>
    <row r="184" spans="1:12">
      <c r="A184" s="8"/>
      <c r="B184" s="8"/>
      <c r="C184" s="8"/>
      <c r="D184" s="20"/>
      <c r="E184" s="20"/>
      <c r="F184" s="20"/>
      <c r="G184" s="20"/>
      <c r="H184" s="20"/>
      <c r="I184" s="20"/>
      <c r="J184" s="20"/>
      <c r="K184" s="8"/>
      <c r="L184" s="8"/>
    </row>
    <row r="185" spans="1:12" ht="15.75" thickBot="1">
      <c r="A185" s="8">
        <v>49</v>
      </c>
      <c r="B185" s="8" t="s">
        <v>43</v>
      </c>
      <c r="C185" s="8" t="s">
        <v>12</v>
      </c>
      <c r="D185" s="29">
        <f>17261.7+3759.58</f>
        <v>21021.279999999999</v>
      </c>
      <c r="E185" s="29">
        <v>283.52999999999997</v>
      </c>
      <c r="F185" s="29">
        <v>107.97</v>
      </c>
      <c r="G185" s="29">
        <v>0</v>
      </c>
      <c r="H185" s="29">
        <v>0</v>
      </c>
      <c r="I185" s="29">
        <v>0</v>
      </c>
      <c r="J185" s="29">
        <f>SUM(D185:I185)</f>
        <v>21412.78</v>
      </c>
      <c r="K185" s="8"/>
      <c r="L185" s="8"/>
    </row>
    <row r="186" spans="1:12">
      <c r="A186" s="8"/>
      <c r="B186" s="8"/>
      <c r="C186" s="8"/>
      <c r="D186" s="20"/>
      <c r="E186" s="20"/>
      <c r="F186" s="20"/>
      <c r="G186" s="20"/>
      <c r="H186" s="20"/>
      <c r="I186" s="20"/>
      <c r="J186" s="20"/>
      <c r="K186" s="8"/>
      <c r="L186" s="8"/>
    </row>
    <row r="187" spans="1:12" ht="15.75" thickBot="1">
      <c r="A187" s="8"/>
      <c r="B187" s="8"/>
      <c r="C187" s="8" t="s">
        <v>10</v>
      </c>
      <c r="D187" s="31">
        <f t="shared" ref="D187:I187" si="28">SUM(D185:D186)</f>
        <v>21021.279999999999</v>
      </c>
      <c r="E187" s="31">
        <f t="shared" si="28"/>
        <v>283.52999999999997</v>
      </c>
      <c r="F187" s="31">
        <f t="shared" si="28"/>
        <v>107.97</v>
      </c>
      <c r="G187" s="31">
        <f t="shared" si="28"/>
        <v>0</v>
      </c>
      <c r="H187" s="31">
        <f t="shared" si="28"/>
        <v>0</v>
      </c>
      <c r="I187" s="31">
        <f t="shared" si="28"/>
        <v>0</v>
      </c>
      <c r="J187" s="31">
        <f>SUM(D187:I187)</f>
        <v>21412.78</v>
      </c>
      <c r="K187" s="8"/>
      <c r="L187" s="8"/>
    </row>
    <row r="188" spans="1:12" ht="15.75" thickTop="1">
      <c r="A188" s="8"/>
      <c r="B188" s="8"/>
      <c r="C188" s="8"/>
      <c r="D188" s="20"/>
      <c r="E188" s="20"/>
      <c r="F188" s="20"/>
      <c r="G188" s="20"/>
      <c r="H188" s="20"/>
      <c r="I188" s="20"/>
      <c r="J188" s="20"/>
      <c r="K188" s="8"/>
      <c r="L188" s="8"/>
    </row>
    <row r="189" spans="1:12">
      <c r="A189" s="8"/>
      <c r="B189" s="8"/>
      <c r="C189" s="8"/>
      <c r="D189" s="20"/>
      <c r="E189" s="20"/>
      <c r="F189" s="20"/>
      <c r="G189" s="20"/>
      <c r="H189" s="20"/>
      <c r="I189" s="20"/>
      <c r="J189" s="20"/>
      <c r="K189" s="8"/>
      <c r="L189" s="8"/>
    </row>
    <row r="190" spans="1:12">
      <c r="A190" s="8">
        <v>50</v>
      </c>
      <c r="B190" s="8" t="s">
        <v>44</v>
      </c>
      <c r="C190" s="8" t="s">
        <v>12</v>
      </c>
      <c r="D190" s="20">
        <f>3766.54+1216.14</f>
        <v>4982.68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f>SUM(D190:I190)</f>
        <v>4982.68</v>
      </c>
      <c r="K190" s="8"/>
      <c r="L190" s="8"/>
    </row>
    <row r="191" spans="1:12" ht="15.75" thickBot="1">
      <c r="A191" s="8"/>
      <c r="B191" s="8"/>
      <c r="C191" s="8" t="s">
        <v>13</v>
      </c>
      <c r="D191" s="29">
        <f>58.68+18.94</f>
        <v>77.62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f>SUM(D191:I191)</f>
        <v>77.62</v>
      </c>
      <c r="K191" s="8"/>
      <c r="L191" s="8"/>
    </row>
    <row r="192" spans="1:12">
      <c r="A192" s="8"/>
      <c r="B192" s="8"/>
      <c r="C192" s="8"/>
      <c r="D192" s="20"/>
      <c r="E192" s="20"/>
      <c r="F192" s="20"/>
      <c r="G192" s="20"/>
      <c r="H192" s="20"/>
      <c r="I192" s="20"/>
      <c r="J192" s="20"/>
      <c r="K192" s="8"/>
      <c r="L192" s="8"/>
    </row>
    <row r="193" spans="1:12" ht="15.75" thickBot="1">
      <c r="A193" s="8"/>
      <c r="B193" s="8"/>
      <c r="C193" s="8" t="s">
        <v>10</v>
      </c>
      <c r="D193" s="31">
        <f t="shared" ref="D193:I193" si="29">SUM(D190:D191)</f>
        <v>5060.3</v>
      </c>
      <c r="E193" s="31">
        <f t="shared" si="29"/>
        <v>0</v>
      </c>
      <c r="F193" s="31">
        <f t="shared" si="29"/>
        <v>0</v>
      </c>
      <c r="G193" s="31">
        <f t="shared" si="29"/>
        <v>0</v>
      </c>
      <c r="H193" s="31">
        <f t="shared" si="29"/>
        <v>0</v>
      </c>
      <c r="I193" s="31">
        <f t="shared" si="29"/>
        <v>0</v>
      </c>
      <c r="J193" s="31">
        <f>SUM(D193:I193)</f>
        <v>5060.3</v>
      </c>
      <c r="K193" s="8"/>
      <c r="L193" s="8"/>
    </row>
    <row r="194" spans="1:12" ht="15.75" thickTop="1">
      <c r="A194" s="8"/>
      <c r="B194" s="8"/>
      <c r="C194" s="8"/>
      <c r="D194" s="20"/>
      <c r="E194" s="20"/>
      <c r="F194" s="20"/>
      <c r="G194" s="20"/>
      <c r="H194" s="20"/>
      <c r="I194" s="20"/>
      <c r="J194" s="20"/>
      <c r="K194" s="8"/>
      <c r="L194" s="8"/>
    </row>
    <row r="195" spans="1:12">
      <c r="A195" s="8"/>
      <c r="B195" s="8"/>
      <c r="C195" s="8"/>
      <c r="D195" s="20"/>
      <c r="E195" s="20"/>
      <c r="F195" s="20"/>
      <c r="G195" s="20"/>
      <c r="H195" s="20"/>
      <c r="I195" s="20"/>
      <c r="J195" s="20"/>
      <c r="K195" s="8"/>
      <c r="L195" s="8"/>
    </row>
    <row r="196" spans="1:12" ht="15.75" thickBot="1">
      <c r="A196" s="8">
        <v>51</v>
      </c>
      <c r="B196" s="8" t="s">
        <v>45</v>
      </c>
      <c r="C196" s="8" t="s">
        <v>12</v>
      </c>
      <c r="D196" s="29">
        <f>8893.1+2703.35</f>
        <v>11596.45</v>
      </c>
      <c r="E196" s="29">
        <v>1.36</v>
      </c>
      <c r="F196" s="29">
        <v>0</v>
      </c>
      <c r="G196" s="29">
        <v>0</v>
      </c>
      <c r="H196" s="29">
        <v>0</v>
      </c>
      <c r="I196" s="29">
        <v>0</v>
      </c>
      <c r="J196" s="29">
        <f>SUM(D196:I196)</f>
        <v>11597.810000000001</v>
      </c>
      <c r="K196" s="8"/>
      <c r="L196" s="8"/>
    </row>
    <row r="197" spans="1:12" hidden="1">
      <c r="A197" s="8"/>
      <c r="B197" s="8"/>
      <c r="C197" s="8" t="s">
        <v>13</v>
      </c>
      <c r="D197" s="20"/>
      <c r="E197" s="20"/>
      <c r="F197" s="20"/>
      <c r="G197" s="20"/>
      <c r="H197" s="20"/>
      <c r="I197" s="20"/>
      <c r="J197" s="20">
        <f>SUM(D197:I197)</f>
        <v>0</v>
      </c>
      <c r="K197" s="8"/>
      <c r="L197" s="8"/>
    </row>
    <row r="198" spans="1:12" ht="15.75" hidden="1" thickBot="1">
      <c r="A198" s="8"/>
      <c r="B198" s="8"/>
      <c r="C198" s="8" t="s">
        <v>46</v>
      </c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29">
        <f>SUM(D198:I198)</f>
        <v>0</v>
      </c>
      <c r="K198" s="8"/>
      <c r="L198" s="8"/>
    </row>
    <row r="199" spans="1:12">
      <c r="A199" s="8"/>
      <c r="B199" s="8"/>
      <c r="C199" s="8"/>
      <c r="D199" s="20"/>
      <c r="E199" s="20"/>
      <c r="F199" s="20"/>
      <c r="G199" s="20"/>
      <c r="H199" s="20"/>
      <c r="I199" s="20"/>
      <c r="J199" s="20"/>
      <c r="K199" s="8"/>
      <c r="L199" s="8"/>
    </row>
    <row r="200" spans="1:12" ht="15.75" thickBot="1">
      <c r="A200" s="8"/>
      <c r="B200" s="8"/>
      <c r="C200" s="8" t="s">
        <v>10</v>
      </c>
      <c r="D200" s="31">
        <f t="shared" ref="D200:I200" si="30">SUM(D196:D198)</f>
        <v>11596.45</v>
      </c>
      <c r="E200" s="31">
        <f t="shared" si="30"/>
        <v>1.36</v>
      </c>
      <c r="F200" s="31">
        <f t="shared" si="30"/>
        <v>0</v>
      </c>
      <c r="G200" s="31">
        <f t="shared" si="30"/>
        <v>0</v>
      </c>
      <c r="H200" s="31">
        <f t="shared" si="30"/>
        <v>0</v>
      </c>
      <c r="I200" s="31">
        <f t="shared" si="30"/>
        <v>0</v>
      </c>
      <c r="J200" s="31">
        <f>SUM(D200:I200)</f>
        <v>11597.810000000001</v>
      </c>
      <c r="K200" s="8"/>
      <c r="L200" s="8"/>
    </row>
    <row r="201" spans="1:12" ht="15.75" thickTop="1">
      <c r="A201" s="8"/>
      <c r="B201" s="8"/>
      <c r="C201" s="8"/>
      <c r="D201" s="20"/>
      <c r="E201" s="20"/>
      <c r="F201" s="20"/>
      <c r="G201" s="20"/>
      <c r="H201" s="20"/>
      <c r="I201" s="20"/>
      <c r="J201" s="20"/>
      <c r="K201" s="8"/>
      <c r="L201" s="8"/>
    </row>
    <row r="202" spans="1:12">
      <c r="A202" s="8"/>
      <c r="B202" s="8"/>
      <c r="C202" s="8"/>
      <c r="D202" s="20"/>
      <c r="E202" s="20"/>
      <c r="F202" s="20"/>
      <c r="G202" s="20"/>
      <c r="H202" s="20"/>
      <c r="I202" s="20"/>
      <c r="J202" s="20"/>
      <c r="K202" s="8"/>
      <c r="L202" s="8"/>
    </row>
    <row r="203" spans="1:12">
      <c r="A203" s="8">
        <v>52</v>
      </c>
      <c r="B203" s="8" t="s">
        <v>47</v>
      </c>
      <c r="C203" s="8" t="s">
        <v>12</v>
      </c>
      <c r="D203" s="25">
        <f>9088.66+2493.86</f>
        <v>11582.52</v>
      </c>
      <c r="E203" s="25">
        <v>34.130000000000003</v>
      </c>
      <c r="F203" s="25">
        <v>0</v>
      </c>
      <c r="G203" s="25">
        <v>0</v>
      </c>
      <c r="H203" s="25">
        <v>0</v>
      </c>
      <c r="I203" s="25">
        <v>0</v>
      </c>
      <c r="J203" s="25">
        <f>SUM(D203:I203)</f>
        <v>11616.65</v>
      </c>
      <c r="K203" s="8"/>
      <c r="L203" s="8"/>
    </row>
    <row r="204" spans="1:12" ht="15.75" hidden="1" thickBot="1">
      <c r="A204" s="8"/>
      <c r="B204" s="8"/>
      <c r="C204" s="8" t="s">
        <v>13</v>
      </c>
      <c r="D204" s="29"/>
      <c r="E204" s="29"/>
      <c r="F204" s="29"/>
      <c r="G204" s="29"/>
      <c r="H204" s="29"/>
      <c r="I204" s="29"/>
      <c r="J204" s="29">
        <v>0</v>
      </c>
      <c r="K204" s="8"/>
      <c r="L204" s="8"/>
    </row>
    <row r="205" spans="1:12">
      <c r="A205" s="8"/>
      <c r="B205" s="8"/>
      <c r="C205" s="8"/>
      <c r="D205" s="20"/>
      <c r="E205" s="20"/>
      <c r="F205" s="20"/>
      <c r="G205" s="20"/>
      <c r="H205" s="20"/>
      <c r="I205" s="20"/>
      <c r="J205" s="20"/>
      <c r="K205" s="8"/>
      <c r="L205" s="8"/>
    </row>
    <row r="206" spans="1:12" ht="15.75" thickBot="1">
      <c r="A206" s="8"/>
      <c r="B206" s="8"/>
      <c r="C206" s="8" t="s">
        <v>10</v>
      </c>
      <c r="D206" s="31">
        <f t="shared" ref="D206:I206" si="31">SUM(D203:D204)</f>
        <v>11582.52</v>
      </c>
      <c r="E206" s="31">
        <f t="shared" si="31"/>
        <v>34.130000000000003</v>
      </c>
      <c r="F206" s="31">
        <f t="shared" si="31"/>
        <v>0</v>
      </c>
      <c r="G206" s="31">
        <f t="shared" si="31"/>
        <v>0</v>
      </c>
      <c r="H206" s="31">
        <f t="shared" si="31"/>
        <v>0</v>
      </c>
      <c r="I206" s="31">
        <f t="shared" si="31"/>
        <v>0</v>
      </c>
      <c r="J206" s="31">
        <f>SUM(D206:I206)</f>
        <v>11616.65</v>
      </c>
      <c r="K206" s="8"/>
      <c r="L206" s="8"/>
    </row>
    <row r="207" spans="1:12" ht="15.75" thickTop="1">
      <c r="A207" s="8"/>
      <c r="B207" s="8"/>
      <c r="C207" s="8"/>
      <c r="D207" s="20"/>
      <c r="E207" s="20"/>
      <c r="F207" s="20"/>
      <c r="G207" s="20"/>
      <c r="H207" s="20"/>
      <c r="I207" s="20"/>
      <c r="J207" s="20"/>
      <c r="K207" s="8"/>
      <c r="L207" s="8"/>
    </row>
    <row r="208" spans="1:12">
      <c r="A208" s="8"/>
      <c r="B208" s="8"/>
      <c r="C208" s="8"/>
      <c r="D208" s="20"/>
      <c r="E208" s="20"/>
      <c r="F208" s="20"/>
      <c r="G208" s="20"/>
      <c r="H208" s="20"/>
      <c r="I208" s="20"/>
      <c r="J208" s="20"/>
      <c r="K208" s="8"/>
      <c r="L208" s="8"/>
    </row>
    <row r="209" spans="1:12" ht="15.75" thickBot="1">
      <c r="A209" s="8">
        <v>53</v>
      </c>
      <c r="B209" s="8" t="s">
        <v>48</v>
      </c>
      <c r="C209" s="8" t="s">
        <v>12</v>
      </c>
      <c r="D209" s="29">
        <f>20922.5+5070.2</f>
        <v>25992.7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f>SUM(D209:I209)</f>
        <v>25992.7</v>
      </c>
      <c r="K209" s="8"/>
      <c r="L209" s="8"/>
    </row>
    <row r="210" spans="1:12" hidden="1">
      <c r="A210" s="8"/>
      <c r="B210" s="8"/>
      <c r="C210" s="8" t="s">
        <v>35</v>
      </c>
      <c r="D210" s="20">
        <v>0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f>SUM(D210:I210)</f>
        <v>0</v>
      </c>
      <c r="K210" s="8"/>
      <c r="L210" s="8"/>
    </row>
    <row r="211" spans="1:12" hidden="1">
      <c r="A211" s="8"/>
      <c r="B211" s="8"/>
      <c r="C211" s="8" t="s">
        <v>97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f>SUM(D211:I211)</f>
        <v>0</v>
      </c>
      <c r="K211" s="8"/>
      <c r="L211" s="8"/>
    </row>
    <row r="212" spans="1:12" ht="15.75" hidden="1" thickBot="1">
      <c r="A212" s="8"/>
      <c r="B212" s="8"/>
      <c r="C212" s="8" t="s">
        <v>98</v>
      </c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29">
        <f>SUM(D212:I212)</f>
        <v>0</v>
      </c>
      <c r="K212" s="8"/>
      <c r="L212" s="8"/>
    </row>
    <row r="213" spans="1:12">
      <c r="A213" s="8"/>
      <c r="B213" s="8"/>
      <c r="C213" s="8"/>
      <c r="D213" s="20"/>
      <c r="E213" s="20"/>
      <c r="F213" s="20"/>
      <c r="G213" s="20"/>
      <c r="H213" s="20"/>
      <c r="I213" s="20"/>
      <c r="J213" s="20"/>
      <c r="K213" s="8"/>
      <c r="L213" s="8"/>
    </row>
    <row r="214" spans="1:12" ht="15.75" thickBot="1">
      <c r="A214" s="8"/>
      <c r="B214" s="8"/>
      <c r="C214" s="8" t="s">
        <v>10</v>
      </c>
      <c r="D214" s="31">
        <f>SUM(D209:D213)</f>
        <v>25992.7</v>
      </c>
      <c r="E214" s="31">
        <f t="shared" ref="E214:J214" si="32">SUM(E209:E213)</f>
        <v>0</v>
      </c>
      <c r="F214" s="31">
        <f t="shared" si="32"/>
        <v>0</v>
      </c>
      <c r="G214" s="31">
        <f t="shared" si="32"/>
        <v>0</v>
      </c>
      <c r="H214" s="31">
        <f t="shared" si="32"/>
        <v>0</v>
      </c>
      <c r="I214" s="31">
        <f t="shared" si="32"/>
        <v>0</v>
      </c>
      <c r="J214" s="31">
        <f t="shared" si="32"/>
        <v>25992.7</v>
      </c>
      <c r="K214" s="8"/>
      <c r="L214" s="8"/>
    </row>
    <row r="215" spans="1:12" ht="15.75" thickTop="1">
      <c r="A215" s="8"/>
      <c r="B215" s="8"/>
      <c r="C215" s="8"/>
      <c r="D215" s="20"/>
      <c r="E215" s="20"/>
      <c r="F215" s="20"/>
      <c r="G215" s="20"/>
      <c r="H215" s="20"/>
      <c r="I215" s="20"/>
      <c r="J215" s="20"/>
      <c r="K215" s="8"/>
      <c r="L215" s="8"/>
    </row>
    <row r="216" spans="1:12">
      <c r="A216" s="8"/>
      <c r="B216" s="8"/>
      <c r="C216" s="8"/>
      <c r="D216" s="20"/>
      <c r="E216" s="20"/>
      <c r="F216" s="20"/>
      <c r="G216" s="20"/>
      <c r="H216" s="20"/>
      <c r="I216" s="20"/>
      <c r="J216" s="20"/>
      <c r="K216" s="8"/>
      <c r="L216" s="8"/>
    </row>
    <row r="217" spans="1:12">
      <c r="A217" s="8">
        <v>54</v>
      </c>
      <c r="B217" s="8" t="s">
        <v>49</v>
      </c>
      <c r="C217" s="8" t="s">
        <v>12</v>
      </c>
      <c r="D217" s="25">
        <f>6190.51+1626.45</f>
        <v>7816.96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f>SUM(D217:I217)</f>
        <v>7816.96</v>
      </c>
      <c r="K217" s="8"/>
      <c r="L217" s="8"/>
    </row>
    <row r="218" spans="1:12" ht="15.75" hidden="1" thickBot="1">
      <c r="A218" s="8"/>
      <c r="B218" s="8"/>
      <c r="C218" s="8" t="s">
        <v>104</v>
      </c>
      <c r="D218" s="29"/>
      <c r="E218" s="29"/>
      <c r="F218" s="29"/>
      <c r="G218" s="29"/>
      <c r="H218" s="29"/>
      <c r="I218" s="29"/>
      <c r="J218" s="29">
        <f>SUM(D218:I218)</f>
        <v>0</v>
      </c>
      <c r="K218" s="8"/>
      <c r="L218" s="8"/>
    </row>
    <row r="219" spans="1:12">
      <c r="A219" s="8"/>
      <c r="B219" s="8"/>
      <c r="C219" s="8"/>
      <c r="D219" s="20"/>
      <c r="E219" s="20"/>
      <c r="F219" s="20"/>
      <c r="G219" s="20"/>
      <c r="H219" s="20"/>
      <c r="I219" s="20"/>
      <c r="J219" s="20"/>
      <c r="K219" s="8"/>
      <c r="L219" s="8"/>
    </row>
    <row r="220" spans="1:12" ht="15.75" thickBot="1">
      <c r="A220" s="8"/>
      <c r="B220" s="8"/>
      <c r="C220" s="8" t="s">
        <v>10</v>
      </c>
      <c r="D220" s="31">
        <f t="shared" ref="D220:I220" si="33">SUM(D217:D219)</f>
        <v>7816.96</v>
      </c>
      <c r="E220" s="31">
        <f t="shared" si="33"/>
        <v>0</v>
      </c>
      <c r="F220" s="31">
        <f t="shared" si="33"/>
        <v>0</v>
      </c>
      <c r="G220" s="31">
        <f t="shared" si="33"/>
        <v>0</v>
      </c>
      <c r="H220" s="31">
        <f t="shared" si="33"/>
        <v>0</v>
      </c>
      <c r="I220" s="31">
        <f t="shared" si="33"/>
        <v>0</v>
      </c>
      <c r="J220" s="31">
        <f>SUM(D220:I220)</f>
        <v>7816.96</v>
      </c>
      <c r="K220" s="8"/>
      <c r="L220" s="8"/>
    </row>
    <row r="221" spans="1:12" ht="15.75" thickTop="1">
      <c r="A221" s="8"/>
      <c r="B221" s="8"/>
      <c r="C221" s="8"/>
      <c r="D221" s="20"/>
      <c r="E221" s="20"/>
      <c r="F221" s="20"/>
      <c r="G221" s="20"/>
      <c r="H221" s="20"/>
      <c r="I221" s="20"/>
      <c r="J221" s="20"/>
      <c r="K221" s="8"/>
      <c r="L221" s="8"/>
    </row>
    <row r="222" spans="1:12">
      <c r="A222" s="8"/>
      <c r="B222" s="8"/>
      <c r="C222" s="8"/>
      <c r="D222" s="20"/>
      <c r="E222" s="20"/>
      <c r="F222" s="20"/>
      <c r="G222" s="20"/>
      <c r="H222" s="20"/>
      <c r="I222" s="20"/>
      <c r="J222" s="20"/>
      <c r="K222" s="8"/>
      <c r="L222" s="8"/>
    </row>
    <row r="223" spans="1:12">
      <c r="A223" s="8">
        <v>55</v>
      </c>
      <c r="B223" s="8" t="s">
        <v>50</v>
      </c>
      <c r="C223" s="8" t="s">
        <v>12</v>
      </c>
      <c r="D223" s="20">
        <f>42857.08+10916.2</f>
        <v>53773.279999999999</v>
      </c>
      <c r="E223" s="20">
        <v>476.33</v>
      </c>
      <c r="F223" s="20">
        <v>129.59</v>
      </c>
      <c r="G223" s="20">
        <v>0</v>
      </c>
      <c r="H223" s="20">
        <v>0</v>
      </c>
      <c r="I223" s="20">
        <v>0</v>
      </c>
      <c r="J223" s="20">
        <f>SUM(D223:I223)</f>
        <v>54379.199999999997</v>
      </c>
      <c r="K223" s="8"/>
      <c r="L223" s="8"/>
    </row>
    <row r="224" spans="1:12" ht="15.75" thickBot="1">
      <c r="A224" s="8"/>
      <c r="B224" s="8"/>
      <c r="C224" s="8" t="s">
        <v>13</v>
      </c>
      <c r="D224" s="29">
        <f>511.91+130.39</f>
        <v>642.29999999999995</v>
      </c>
      <c r="E224" s="29">
        <v>6.08</v>
      </c>
      <c r="F224" s="29">
        <v>3.46</v>
      </c>
      <c r="G224" s="29">
        <v>0</v>
      </c>
      <c r="H224" s="29">
        <v>0</v>
      </c>
      <c r="I224" s="29">
        <v>0</v>
      </c>
      <c r="J224" s="29">
        <f>SUM(D224:I224)</f>
        <v>651.84</v>
      </c>
      <c r="K224" s="8"/>
      <c r="L224" s="8"/>
    </row>
    <row r="225" spans="1:12">
      <c r="A225" s="8"/>
      <c r="B225" s="8"/>
      <c r="C225" s="8"/>
      <c r="D225" s="20"/>
      <c r="E225" s="20"/>
      <c r="F225" s="20"/>
      <c r="G225" s="20"/>
      <c r="H225" s="20"/>
      <c r="I225" s="20"/>
      <c r="J225" s="20"/>
      <c r="K225" s="8"/>
      <c r="L225" s="8"/>
    </row>
    <row r="226" spans="1:12" ht="15.75" thickBot="1">
      <c r="A226" s="8"/>
      <c r="B226" s="8"/>
      <c r="C226" s="8" t="s">
        <v>10</v>
      </c>
      <c r="D226" s="31">
        <f t="shared" ref="D226:I226" si="34">SUM(D223:D224)</f>
        <v>54415.58</v>
      </c>
      <c r="E226" s="31">
        <f t="shared" si="34"/>
        <v>482.40999999999997</v>
      </c>
      <c r="F226" s="31">
        <f t="shared" si="34"/>
        <v>133.05000000000001</v>
      </c>
      <c r="G226" s="31">
        <f t="shared" si="34"/>
        <v>0</v>
      </c>
      <c r="H226" s="31">
        <f t="shared" si="34"/>
        <v>0</v>
      </c>
      <c r="I226" s="31">
        <f t="shared" si="34"/>
        <v>0</v>
      </c>
      <c r="J226" s="31">
        <f>SUM(D226:I226)</f>
        <v>55031.040000000008</v>
      </c>
      <c r="K226" s="8"/>
      <c r="L226" s="8"/>
    </row>
    <row r="227" spans="1:12" ht="15.75" thickTop="1">
      <c r="A227" s="8"/>
      <c r="B227" s="8"/>
      <c r="C227" s="8"/>
      <c r="D227" s="20"/>
      <c r="E227" s="20"/>
      <c r="F227" s="20"/>
      <c r="G227" s="20"/>
      <c r="H227" s="20"/>
      <c r="I227" s="20"/>
      <c r="J227" s="20"/>
      <c r="K227" s="8"/>
      <c r="L227" s="8"/>
    </row>
    <row r="228" spans="1:12">
      <c r="A228" s="8"/>
      <c r="B228" s="8"/>
      <c r="C228" s="8"/>
      <c r="D228" s="20"/>
      <c r="E228" s="20"/>
      <c r="F228" s="20"/>
      <c r="G228" s="20"/>
      <c r="H228" s="20"/>
      <c r="I228" s="20"/>
      <c r="J228" s="20"/>
      <c r="K228" s="8"/>
      <c r="L228" s="8"/>
    </row>
    <row r="229" spans="1:12">
      <c r="A229" s="8">
        <v>56</v>
      </c>
      <c r="B229" s="8" t="s">
        <v>51</v>
      </c>
      <c r="C229" s="8" t="s">
        <v>12</v>
      </c>
      <c r="D229" s="20">
        <f>10794.38+2492.48</f>
        <v>13286.859999999999</v>
      </c>
      <c r="E229" s="20">
        <v>48.22</v>
      </c>
      <c r="F229" s="20">
        <v>0</v>
      </c>
      <c r="G229" s="20">
        <v>0</v>
      </c>
      <c r="H229" s="20">
        <v>0</v>
      </c>
      <c r="I229" s="20">
        <v>0</v>
      </c>
      <c r="J229" s="20">
        <f>SUM(D229:I229)</f>
        <v>13335.079999999998</v>
      </c>
      <c r="K229" s="8"/>
      <c r="L229" s="8"/>
    </row>
    <row r="230" spans="1:12" ht="15.75" thickBot="1">
      <c r="A230" s="8"/>
      <c r="B230" s="8"/>
      <c r="C230" s="8" t="s">
        <v>13</v>
      </c>
      <c r="D230" s="29">
        <f>113.94+26.31</f>
        <v>140.25</v>
      </c>
      <c r="E230" s="29">
        <v>0.7</v>
      </c>
      <c r="F230" s="29">
        <v>0</v>
      </c>
      <c r="G230" s="29">
        <v>0</v>
      </c>
      <c r="H230" s="29">
        <v>0</v>
      </c>
      <c r="I230" s="29">
        <v>0</v>
      </c>
      <c r="J230" s="29">
        <f>SUM(D230:I230)</f>
        <v>140.94999999999999</v>
      </c>
      <c r="K230" s="8"/>
      <c r="L230" s="8"/>
    </row>
    <row r="231" spans="1:12">
      <c r="A231" s="8"/>
      <c r="B231" s="8"/>
      <c r="C231" s="8"/>
      <c r="D231" s="20"/>
      <c r="E231" s="20"/>
      <c r="F231" s="20"/>
      <c r="G231" s="20"/>
      <c r="H231" s="20"/>
      <c r="I231" s="20"/>
      <c r="J231" s="20"/>
      <c r="K231" s="8"/>
      <c r="L231" s="8"/>
    </row>
    <row r="232" spans="1:12" ht="15.75" thickBot="1">
      <c r="A232" s="8"/>
      <c r="B232" s="8"/>
      <c r="C232" s="8" t="s">
        <v>10</v>
      </c>
      <c r="D232" s="31">
        <f t="shared" ref="D232:I232" si="35">SUM(D229:D230)</f>
        <v>13427.109999999999</v>
      </c>
      <c r="E232" s="31">
        <f t="shared" si="35"/>
        <v>48.92</v>
      </c>
      <c r="F232" s="31">
        <f t="shared" si="35"/>
        <v>0</v>
      </c>
      <c r="G232" s="31">
        <f t="shared" si="35"/>
        <v>0</v>
      </c>
      <c r="H232" s="31">
        <f t="shared" si="35"/>
        <v>0</v>
      </c>
      <c r="I232" s="31">
        <f t="shared" si="35"/>
        <v>0</v>
      </c>
      <c r="J232" s="31">
        <f>SUM(D232:I232)</f>
        <v>13476.029999999999</v>
      </c>
      <c r="K232" s="8"/>
      <c r="L232" s="8"/>
    </row>
    <row r="233" spans="1:12" ht="15.75" thickTop="1">
      <c r="A233" s="8"/>
      <c r="B233" s="8"/>
      <c r="C233" s="8"/>
      <c r="D233" s="20"/>
      <c r="E233" s="20"/>
      <c r="F233" s="20"/>
      <c r="G233" s="20"/>
      <c r="H233" s="20"/>
      <c r="I233" s="20"/>
      <c r="J233" s="20"/>
      <c r="K233" s="8"/>
      <c r="L233" s="8"/>
    </row>
    <row r="234" spans="1:12">
      <c r="A234" s="8"/>
      <c r="B234" s="8"/>
      <c r="C234" s="8"/>
      <c r="D234" s="20"/>
      <c r="E234" s="20"/>
      <c r="F234" s="20"/>
      <c r="G234" s="20"/>
      <c r="H234" s="20"/>
      <c r="I234" s="20"/>
      <c r="J234" s="20"/>
      <c r="K234" s="8"/>
      <c r="L234" s="8"/>
    </row>
    <row r="235" spans="1:12">
      <c r="A235" s="8">
        <v>57</v>
      </c>
      <c r="B235" s="8" t="s">
        <v>52</v>
      </c>
      <c r="C235" s="8" t="s">
        <v>12</v>
      </c>
      <c r="D235" s="20">
        <f>27708.48+6564.11</f>
        <v>34272.589999999997</v>
      </c>
      <c r="E235" s="20">
        <v>220.58</v>
      </c>
      <c r="F235" s="20">
        <v>131.29</v>
      </c>
      <c r="G235" s="20">
        <v>0</v>
      </c>
      <c r="H235" s="20">
        <v>0</v>
      </c>
      <c r="I235" s="20">
        <v>0</v>
      </c>
      <c r="J235" s="20">
        <f>SUM(D235:I235)</f>
        <v>34624.46</v>
      </c>
      <c r="K235" s="8"/>
      <c r="L235" s="8"/>
    </row>
    <row r="236" spans="1:12">
      <c r="A236" s="8"/>
      <c r="B236" s="8"/>
      <c r="C236" s="38" t="s">
        <v>13</v>
      </c>
      <c r="D236" s="20">
        <f>661.93+156.81</f>
        <v>818.74</v>
      </c>
      <c r="E236" s="20">
        <v>5.64</v>
      </c>
      <c r="F236" s="20">
        <v>3.5</v>
      </c>
      <c r="G236" s="20">
        <v>0</v>
      </c>
      <c r="H236" s="20">
        <v>0</v>
      </c>
      <c r="I236" s="20">
        <v>0</v>
      </c>
      <c r="J236" s="20">
        <f t="shared" ref="J236:J237" si="36">SUM(D236:I236)</f>
        <v>827.88</v>
      </c>
      <c r="K236" s="8"/>
      <c r="L236" s="8"/>
    </row>
    <row r="237" spans="1:12" ht="15.75" thickBot="1">
      <c r="A237" s="8"/>
      <c r="B237" s="8"/>
      <c r="C237" s="38" t="s">
        <v>112</v>
      </c>
      <c r="D237" s="29">
        <v>0</v>
      </c>
      <c r="E237" s="29">
        <v>0</v>
      </c>
      <c r="F237" s="29">
        <v>3.78</v>
      </c>
      <c r="G237" s="29">
        <v>0</v>
      </c>
      <c r="H237" s="29">
        <v>0</v>
      </c>
      <c r="I237" s="29">
        <v>0</v>
      </c>
      <c r="J237" s="29">
        <f t="shared" si="36"/>
        <v>3.78</v>
      </c>
      <c r="K237" s="8"/>
      <c r="L237" s="8"/>
    </row>
    <row r="238" spans="1:12" ht="15.75" hidden="1" thickBot="1">
      <c r="A238" s="8"/>
      <c r="B238" s="8"/>
      <c r="C238" s="38" t="s">
        <v>109</v>
      </c>
      <c r="D238" s="29">
        <v>0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29">
        <f>SUM(D238:I238)</f>
        <v>0</v>
      </c>
      <c r="K238" s="8"/>
      <c r="L238" s="8"/>
    </row>
    <row r="239" spans="1:12">
      <c r="A239" s="8"/>
      <c r="B239" s="8"/>
      <c r="C239" s="8"/>
      <c r="D239" s="20"/>
      <c r="E239" s="20"/>
      <c r="F239" s="20"/>
      <c r="G239" s="20"/>
      <c r="H239" s="20"/>
      <c r="I239" s="20"/>
      <c r="J239" s="20"/>
      <c r="K239" s="8"/>
      <c r="L239" s="8"/>
    </row>
    <row r="240" spans="1:12" ht="15.75" thickBot="1">
      <c r="A240" s="8"/>
      <c r="B240" s="8"/>
      <c r="C240" s="8" t="s">
        <v>10</v>
      </c>
      <c r="D240" s="31">
        <f t="shared" ref="D240:I240" si="37">SUM(D235:D238)</f>
        <v>35091.329999999994</v>
      </c>
      <c r="E240" s="31">
        <f t="shared" si="37"/>
        <v>226.22</v>
      </c>
      <c r="F240" s="31">
        <f t="shared" si="37"/>
        <v>138.57</v>
      </c>
      <c r="G240" s="31">
        <f t="shared" si="37"/>
        <v>0</v>
      </c>
      <c r="H240" s="31">
        <f t="shared" si="37"/>
        <v>0</v>
      </c>
      <c r="I240" s="31">
        <f t="shared" si="37"/>
        <v>0</v>
      </c>
      <c r="J240" s="31">
        <f>SUM(D240:I240)</f>
        <v>35456.119999999995</v>
      </c>
      <c r="K240" s="8"/>
      <c r="L240" s="8"/>
    </row>
    <row r="241" spans="1:12" ht="15.75" thickTop="1">
      <c r="A241" s="8"/>
      <c r="B241" s="8"/>
      <c r="C241" s="8"/>
      <c r="D241" s="20"/>
      <c r="E241" s="20"/>
      <c r="F241" s="20"/>
      <c r="G241" s="20"/>
      <c r="H241" s="20"/>
      <c r="I241" s="20"/>
      <c r="J241" s="20"/>
      <c r="K241" s="8"/>
      <c r="L241" s="8"/>
    </row>
    <row r="242" spans="1:12">
      <c r="A242" s="8"/>
      <c r="B242" s="8"/>
      <c r="C242" s="8"/>
      <c r="D242" s="20"/>
      <c r="E242" s="20"/>
      <c r="F242" s="20"/>
      <c r="G242" s="20"/>
      <c r="H242" s="20"/>
      <c r="I242" s="20"/>
      <c r="J242" s="20"/>
      <c r="K242" s="8"/>
      <c r="L242" s="8"/>
    </row>
    <row r="243" spans="1:12">
      <c r="A243" s="8">
        <v>58</v>
      </c>
      <c r="B243" s="8" t="s">
        <v>53</v>
      </c>
      <c r="C243" s="8" t="s">
        <v>12</v>
      </c>
      <c r="D243" s="20">
        <f>12834.93+3468.05</f>
        <v>16302.98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f>SUM(D243:I243)</f>
        <v>16302.98</v>
      </c>
      <c r="K243" s="8"/>
      <c r="L243" s="8"/>
    </row>
    <row r="244" spans="1:12" ht="15.75" thickBot="1">
      <c r="A244" s="8"/>
      <c r="B244" s="8"/>
      <c r="C244" s="38" t="s">
        <v>116</v>
      </c>
      <c r="D244" s="29">
        <f>21765.21+5881.05</f>
        <v>27646.26</v>
      </c>
      <c r="E244" s="29">
        <v>0</v>
      </c>
      <c r="F244" s="29">
        <v>0</v>
      </c>
      <c r="G244" s="29"/>
      <c r="H244" s="29"/>
      <c r="I244" s="29"/>
      <c r="J244" s="29">
        <v>0</v>
      </c>
      <c r="K244" s="8"/>
      <c r="L244" s="8"/>
    </row>
    <row r="245" spans="1:12">
      <c r="A245" s="8"/>
      <c r="B245" s="8"/>
      <c r="C245" s="8"/>
      <c r="D245" s="20"/>
      <c r="E245" s="20"/>
      <c r="F245" s="20"/>
      <c r="G245" s="20"/>
      <c r="H245" s="20"/>
      <c r="I245" s="20"/>
      <c r="J245" s="20"/>
      <c r="K245" s="8"/>
      <c r="L245" s="8"/>
    </row>
    <row r="246" spans="1:12" ht="15.75" thickBot="1">
      <c r="A246" s="8"/>
      <c r="B246" s="8"/>
      <c r="C246" s="8" t="s">
        <v>10</v>
      </c>
      <c r="D246" s="31">
        <f t="shared" ref="D246:I246" si="38">SUM(D243:D244)</f>
        <v>43949.24</v>
      </c>
      <c r="E246" s="31">
        <f t="shared" si="38"/>
        <v>0</v>
      </c>
      <c r="F246" s="31">
        <f t="shared" si="38"/>
        <v>0</v>
      </c>
      <c r="G246" s="31">
        <f t="shared" si="38"/>
        <v>0</v>
      </c>
      <c r="H246" s="31">
        <f t="shared" si="38"/>
        <v>0</v>
      </c>
      <c r="I246" s="31">
        <f t="shared" si="38"/>
        <v>0</v>
      </c>
      <c r="J246" s="31">
        <f>SUM(D246:I246)</f>
        <v>43949.24</v>
      </c>
      <c r="K246" s="8"/>
      <c r="L246" s="8"/>
    </row>
    <row r="247" spans="1:12" ht="15.75" thickTop="1">
      <c r="A247" s="8"/>
      <c r="B247" s="8"/>
      <c r="C247" s="8"/>
      <c r="D247" s="20"/>
      <c r="E247" s="20"/>
      <c r="F247" s="20"/>
      <c r="G247" s="20"/>
      <c r="H247" s="20"/>
      <c r="I247" s="20"/>
      <c r="J247" s="20"/>
      <c r="K247" s="8"/>
      <c r="L247" s="8"/>
    </row>
    <row r="248" spans="1:12">
      <c r="A248" s="8"/>
      <c r="B248" s="8"/>
      <c r="C248" s="8"/>
      <c r="D248" s="20"/>
      <c r="E248" s="20"/>
      <c r="F248" s="20"/>
      <c r="G248" s="20"/>
      <c r="H248" s="20"/>
      <c r="I248" s="20"/>
      <c r="J248" s="20"/>
      <c r="K248" s="8"/>
      <c r="L248" s="8"/>
    </row>
    <row r="249" spans="1:12">
      <c r="A249" s="8">
        <v>59</v>
      </c>
      <c r="B249" s="8" t="s">
        <v>54</v>
      </c>
      <c r="C249" s="8" t="s">
        <v>12</v>
      </c>
      <c r="D249" s="20">
        <f>22272.12+5322.15</f>
        <v>27594.269999999997</v>
      </c>
      <c r="E249" s="20">
        <v>226.67</v>
      </c>
      <c r="F249" s="20">
        <v>32.35</v>
      </c>
      <c r="G249" s="20">
        <v>0</v>
      </c>
      <c r="H249" s="20">
        <v>0</v>
      </c>
      <c r="I249" s="20">
        <v>0</v>
      </c>
      <c r="J249" s="20">
        <f>SUM(D249:I249)</f>
        <v>27853.289999999994</v>
      </c>
      <c r="K249" s="8"/>
      <c r="L249" s="8"/>
    </row>
    <row r="250" spans="1:12" ht="15.75" thickBot="1">
      <c r="A250" s="8"/>
      <c r="B250" s="8"/>
      <c r="C250" s="8" t="s">
        <v>35</v>
      </c>
      <c r="D250" s="29"/>
      <c r="E250" s="29">
        <v>0</v>
      </c>
      <c r="F250" s="29">
        <v>1.9</v>
      </c>
      <c r="G250" s="29">
        <v>0</v>
      </c>
      <c r="H250" s="29">
        <v>0</v>
      </c>
      <c r="I250" s="29">
        <v>0</v>
      </c>
      <c r="J250" s="29">
        <f>SUM(D250:I250)</f>
        <v>1.9</v>
      </c>
      <c r="K250" s="8"/>
      <c r="L250" s="8"/>
    </row>
    <row r="251" spans="1:12">
      <c r="A251" s="8"/>
      <c r="B251" s="8"/>
      <c r="C251" s="8"/>
      <c r="D251" s="20"/>
      <c r="E251" s="20"/>
      <c r="F251" s="20"/>
      <c r="G251" s="20"/>
      <c r="H251" s="20"/>
      <c r="I251" s="20"/>
      <c r="J251" s="20"/>
      <c r="K251" s="8"/>
      <c r="L251" s="8"/>
    </row>
    <row r="252" spans="1:12" ht="15.75" thickBot="1">
      <c r="A252" s="8"/>
      <c r="B252" s="8"/>
      <c r="C252" s="8" t="s">
        <v>10</v>
      </c>
      <c r="D252" s="31">
        <f t="shared" ref="D252:I252" si="39">SUM(D249:D250)</f>
        <v>27594.269999999997</v>
      </c>
      <c r="E252" s="31">
        <f t="shared" si="39"/>
        <v>226.67</v>
      </c>
      <c r="F252" s="31">
        <f t="shared" si="39"/>
        <v>34.25</v>
      </c>
      <c r="G252" s="31">
        <f t="shared" si="39"/>
        <v>0</v>
      </c>
      <c r="H252" s="31">
        <f t="shared" si="39"/>
        <v>0</v>
      </c>
      <c r="I252" s="31">
        <f t="shared" si="39"/>
        <v>0</v>
      </c>
      <c r="J252" s="31">
        <f>SUM(D252:I252)</f>
        <v>27855.189999999995</v>
      </c>
      <c r="K252" s="8"/>
      <c r="L252" s="8"/>
    </row>
    <row r="253" spans="1:12" ht="15.75" thickTop="1">
      <c r="A253" s="8"/>
      <c r="B253" s="8"/>
      <c r="C253" s="8"/>
      <c r="D253" s="20"/>
      <c r="E253" s="20"/>
      <c r="F253" s="20"/>
      <c r="G253" s="20"/>
      <c r="H253" s="20"/>
      <c r="I253" s="20"/>
      <c r="J253" s="20"/>
      <c r="K253" s="8"/>
      <c r="L253" s="8"/>
    </row>
    <row r="254" spans="1:12">
      <c r="A254" s="8"/>
      <c r="B254" s="8"/>
      <c r="C254" s="8"/>
      <c r="D254" s="20"/>
      <c r="E254" s="20"/>
      <c r="F254" s="20"/>
      <c r="G254" s="20"/>
      <c r="H254" s="20"/>
      <c r="I254" s="20"/>
      <c r="J254" s="20"/>
      <c r="K254" s="8"/>
      <c r="L254" s="8"/>
    </row>
    <row r="255" spans="1:12">
      <c r="A255" s="8">
        <v>60</v>
      </c>
      <c r="B255" s="8" t="s">
        <v>55</v>
      </c>
      <c r="C255" s="8" t="s">
        <v>12</v>
      </c>
      <c r="D255" s="20">
        <f>69718.33+15054.33</f>
        <v>84772.66</v>
      </c>
      <c r="E255" s="20">
        <v>280.01</v>
      </c>
      <c r="F255" s="20">
        <v>8.9600000000000009</v>
      </c>
      <c r="G255" s="20">
        <v>0</v>
      </c>
      <c r="H255" s="20">
        <v>0</v>
      </c>
      <c r="I255" s="20">
        <v>0</v>
      </c>
      <c r="J255" s="20">
        <f>SUM(D255:I255)</f>
        <v>85061.63</v>
      </c>
      <c r="K255" s="8"/>
      <c r="L255" s="8"/>
    </row>
    <row r="256" spans="1:12">
      <c r="A256" s="8"/>
      <c r="B256" s="8"/>
      <c r="C256" s="38" t="s">
        <v>35</v>
      </c>
      <c r="D256" s="20">
        <v>0</v>
      </c>
      <c r="E256" s="20">
        <v>0</v>
      </c>
      <c r="F256" s="20">
        <v>0.5</v>
      </c>
      <c r="G256" s="20">
        <v>0</v>
      </c>
      <c r="H256" s="20">
        <v>0</v>
      </c>
      <c r="I256" s="20">
        <v>0</v>
      </c>
      <c r="J256" s="20">
        <f>SUM(D256:I256)</f>
        <v>0.5</v>
      </c>
      <c r="K256" s="8"/>
      <c r="L256" s="8"/>
    </row>
    <row r="257" spans="1:12" ht="15.75" thickBot="1">
      <c r="A257" s="8"/>
      <c r="B257" s="8"/>
      <c r="C257" s="8" t="s">
        <v>97</v>
      </c>
      <c r="D257" s="29">
        <v>0</v>
      </c>
      <c r="E257" s="29">
        <v>0</v>
      </c>
      <c r="F257" s="29">
        <v>0.19</v>
      </c>
      <c r="G257" s="29">
        <v>0</v>
      </c>
      <c r="H257" s="29">
        <v>0</v>
      </c>
      <c r="I257" s="29">
        <v>0</v>
      </c>
      <c r="J257" s="29">
        <f>SUM(D257:I257)</f>
        <v>0.19</v>
      </c>
      <c r="K257" s="8"/>
      <c r="L257" s="8"/>
    </row>
    <row r="258" spans="1:12" hidden="1">
      <c r="A258" s="8"/>
      <c r="B258" s="8"/>
      <c r="C258" s="8" t="s">
        <v>98</v>
      </c>
      <c r="D258" s="25">
        <v>0</v>
      </c>
      <c r="E258" s="25">
        <v>0</v>
      </c>
      <c r="F258" s="25">
        <v>0</v>
      </c>
      <c r="G258" s="25">
        <v>0</v>
      </c>
      <c r="H258" s="25">
        <v>0</v>
      </c>
      <c r="I258" s="25">
        <v>0</v>
      </c>
      <c r="J258" s="25">
        <f>SUM(D258:I258)</f>
        <v>0</v>
      </c>
      <c r="K258" s="8"/>
      <c r="L258" s="8"/>
    </row>
    <row r="259" spans="1:12">
      <c r="A259" s="8"/>
      <c r="B259" s="8"/>
      <c r="C259" s="8"/>
      <c r="D259" s="20"/>
      <c r="E259" s="20"/>
      <c r="F259" s="20"/>
      <c r="G259" s="20"/>
      <c r="H259" s="20"/>
      <c r="I259" s="20"/>
      <c r="J259" s="20"/>
      <c r="K259" s="8"/>
      <c r="L259" s="8"/>
    </row>
    <row r="260" spans="1:12">
      <c r="A260" s="8"/>
      <c r="B260" s="8"/>
      <c r="C260" s="8"/>
      <c r="D260" s="20"/>
      <c r="E260" s="20"/>
      <c r="F260" s="20"/>
      <c r="G260" s="20"/>
      <c r="H260" s="20"/>
      <c r="I260" s="20"/>
      <c r="J260" s="20"/>
      <c r="K260" s="8"/>
      <c r="L260" s="8"/>
    </row>
    <row r="261" spans="1:12" ht="15.75" thickBot="1">
      <c r="A261" s="8"/>
      <c r="B261" s="8"/>
      <c r="C261" s="8" t="s">
        <v>10</v>
      </c>
      <c r="D261" s="31">
        <f t="shared" ref="D261:I261" si="40">SUM(D255:D260)</f>
        <v>84772.66</v>
      </c>
      <c r="E261" s="31">
        <f t="shared" si="40"/>
        <v>280.01</v>
      </c>
      <c r="F261" s="31">
        <f t="shared" si="40"/>
        <v>9.65</v>
      </c>
      <c r="G261" s="31">
        <f t="shared" si="40"/>
        <v>0</v>
      </c>
      <c r="H261" s="31">
        <f t="shared" si="40"/>
        <v>0</v>
      </c>
      <c r="I261" s="31">
        <f t="shared" si="40"/>
        <v>0</v>
      </c>
      <c r="J261" s="31">
        <f>SUM(D261:I261)</f>
        <v>85062.319999999992</v>
      </c>
      <c r="K261" s="8"/>
      <c r="L261" s="8"/>
    </row>
    <row r="262" spans="1:12" ht="15.75" thickTop="1">
      <c r="A262" s="8"/>
      <c r="B262" s="8"/>
      <c r="C262" s="8"/>
      <c r="D262" s="20"/>
      <c r="E262" s="20"/>
      <c r="F262" s="20"/>
      <c r="G262" s="20"/>
      <c r="H262" s="20"/>
      <c r="I262" s="20"/>
      <c r="J262" s="20"/>
      <c r="K262" s="8"/>
      <c r="L262" s="8"/>
    </row>
    <row r="263" spans="1:12">
      <c r="A263" s="8"/>
      <c r="B263" s="8"/>
      <c r="C263" s="8"/>
      <c r="D263" s="20"/>
      <c r="E263" s="20"/>
      <c r="F263" s="20"/>
      <c r="G263" s="20"/>
      <c r="H263" s="20"/>
      <c r="I263" s="20"/>
      <c r="J263" s="20"/>
      <c r="K263" s="8"/>
      <c r="L263" s="8"/>
    </row>
    <row r="264" spans="1:12">
      <c r="A264" s="8">
        <v>61</v>
      </c>
      <c r="B264" s="8" t="s">
        <v>56</v>
      </c>
      <c r="C264" s="8" t="s">
        <v>12</v>
      </c>
      <c r="D264" s="39">
        <f>9529.7+2346.3</f>
        <v>11876</v>
      </c>
      <c r="E264" s="20">
        <v>1.34</v>
      </c>
      <c r="F264" s="20">
        <v>0</v>
      </c>
      <c r="G264" s="20">
        <v>0</v>
      </c>
      <c r="H264" s="20">
        <v>0</v>
      </c>
      <c r="I264" s="20">
        <v>0</v>
      </c>
      <c r="J264" s="20">
        <f>SUM(D264:I264)</f>
        <v>11877.34</v>
      </c>
      <c r="K264" s="8"/>
      <c r="L264" s="8"/>
    </row>
    <row r="265" spans="1:12" ht="15.75" thickBot="1">
      <c r="A265" s="8"/>
      <c r="B265" s="8"/>
      <c r="C265" s="8" t="s">
        <v>13</v>
      </c>
      <c r="D265" s="29">
        <f>132.04+32.51</f>
        <v>164.54999999999998</v>
      </c>
      <c r="E265" s="29">
        <v>0.03</v>
      </c>
      <c r="F265" s="29">
        <v>0</v>
      </c>
      <c r="G265" s="29">
        <v>0</v>
      </c>
      <c r="H265" s="29">
        <v>0</v>
      </c>
      <c r="I265" s="29">
        <v>0</v>
      </c>
      <c r="J265" s="29">
        <f>SUM(D265:I265)</f>
        <v>164.57999999999998</v>
      </c>
      <c r="K265" s="8"/>
      <c r="L265" s="8"/>
    </row>
    <row r="266" spans="1:12" ht="15.75" hidden="1" thickBot="1">
      <c r="A266" s="8"/>
      <c r="B266" s="8"/>
      <c r="C266" s="8" t="s">
        <v>99</v>
      </c>
      <c r="D266" s="29">
        <v>0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29">
        <f>SUM(D266:I266)</f>
        <v>0</v>
      </c>
      <c r="K266" s="8"/>
      <c r="L266" s="8"/>
    </row>
    <row r="267" spans="1:12">
      <c r="A267" s="8"/>
      <c r="B267" s="8"/>
      <c r="C267" s="8"/>
      <c r="D267" s="20"/>
      <c r="E267" s="20"/>
      <c r="F267" s="20"/>
      <c r="G267" s="20"/>
      <c r="H267" s="20"/>
      <c r="I267" s="20"/>
      <c r="J267" s="20"/>
      <c r="K267" s="8"/>
      <c r="L267" s="8"/>
    </row>
    <row r="268" spans="1:12" ht="15.75" thickBot="1">
      <c r="A268" s="8"/>
      <c r="B268" s="8"/>
      <c r="C268" s="8" t="s">
        <v>10</v>
      </c>
      <c r="D268" s="31">
        <f>SUM(D264:D266)</f>
        <v>12040.55</v>
      </c>
      <c r="E268" s="31">
        <f t="shared" ref="E268:J268" si="41">SUM(E264:E266)</f>
        <v>1.37</v>
      </c>
      <c r="F268" s="31">
        <f t="shared" si="41"/>
        <v>0</v>
      </c>
      <c r="G268" s="31">
        <f t="shared" si="41"/>
        <v>0</v>
      </c>
      <c r="H268" s="31">
        <f t="shared" si="41"/>
        <v>0</v>
      </c>
      <c r="I268" s="31">
        <f t="shared" si="41"/>
        <v>0</v>
      </c>
      <c r="J268" s="31">
        <f t="shared" si="41"/>
        <v>12041.92</v>
      </c>
      <c r="K268" s="8"/>
      <c r="L268" s="8"/>
    </row>
    <row r="269" spans="1:12" ht="15.75" thickTop="1">
      <c r="A269" s="8"/>
      <c r="B269" s="8"/>
      <c r="C269" s="8"/>
      <c r="D269" s="20"/>
      <c r="E269" s="20"/>
      <c r="F269" s="20"/>
      <c r="G269" s="20"/>
      <c r="H269" s="20"/>
      <c r="I269" s="20"/>
      <c r="J269" s="20"/>
      <c r="K269" s="8"/>
      <c r="L269" s="8"/>
    </row>
    <row r="270" spans="1:12">
      <c r="A270" s="8"/>
      <c r="B270" s="8"/>
      <c r="C270" s="8"/>
      <c r="D270" s="20"/>
      <c r="E270" s="20"/>
      <c r="F270" s="20"/>
      <c r="G270" s="20"/>
      <c r="H270" s="20"/>
      <c r="I270" s="20"/>
      <c r="J270" s="20"/>
      <c r="K270" s="8"/>
      <c r="L270" s="8"/>
    </row>
    <row r="271" spans="1:12">
      <c r="A271" s="8">
        <v>62</v>
      </c>
      <c r="B271" s="8" t="s">
        <v>57</v>
      </c>
      <c r="C271" s="8" t="s">
        <v>12</v>
      </c>
      <c r="D271" s="20">
        <f>5430.36+1783.47</f>
        <v>7213.83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f>SUM(D271:I271)</f>
        <v>7213.83</v>
      </c>
      <c r="K271" s="8"/>
      <c r="L271" s="8"/>
    </row>
    <row r="272" spans="1:12" ht="15.75" thickBot="1">
      <c r="A272" s="8"/>
      <c r="B272" s="8"/>
      <c r="C272" s="8" t="s">
        <v>13</v>
      </c>
      <c r="D272" s="29">
        <f>38.76+12.73</f>
        <v>51.489999999999995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29">
        <f>SUM(D272:I272)</f>
        <v>51.489999999999995</v>
      </c>
      <c r="K272" s="8"/>
      <c r="L272" s="8"/>
    </row>
    <row r="273" spans="1:12">
      <c r="A273" s="8"/>
      <c r="B273" s="8"/>
      <c r="C273" s="8"/>
      <c r="D273" s="20"/>
      <c r="E273" s="20"/>
      <c r="F273" s="20"/>
      <c r="G273" s="20"/>
      <c r="H273" s="20"/>
      <c r="I273" s="20"/>
      <c r="J273" s="20"/>
      <c r="K273" s="8"/>
      <c r="L273" s="8"/>
    </row>
    <row r="274" spans="1:12" ht="15.75" thickBot="1">
      <c r="A274" s="8"/>
      <c r="B274" s="8"/>
      <c r="C274" s="8" t="s">
        <v>10</v>
      </c>
      <c r="D274" s="31">
        <f t="shared" ref="D274:I274" si="42">SUM(D271:D272)</f>
        <v>7265.32</v>
      </c>
      <c r="E274" s="31">
        <f t="shared" si="42"/>
        <v>0</v>
      </c>
      <c r="F274" s="31">
        <f t="shared" si="42"/>
        <v>0</v>
      </c>
      <c r="G274" s="31">
        <f t="shared" si="42"/>
        <v>0</v>
      </c>
      <c r="H274" s="31">
        <f t="shared" si="42"/>
        <v>0</v>
      </c>
      <c r="I274" s="31">
        <f t="shared" si="42"/>
        <v>0</v>
      </c>
      <c r="J274" s="31">
        <f>SUM(D274:I274)</f>
        <v>7265.32</v>
      </c>
      <c r="K274" s="8"/>
      <c r="L274" s="8"/>
    </row>
    <row r="275" spans="1:12" ht="15.75" thickTop="1">
      <c r="A275" s="8"/>
      <c r="B275" s="8"/>
      <c r="C275" s="8"/>
      <c r="D275" s="20"/>
      <c r="E275" s="20"/>
      <c r="F275" s="20"/>
      <c r="G275" s="20"/>
      <c r="H275" s="20"/>
      <c r="I275" s="20"/>
      <c r="J275" s="20"/>
      <c r="K275" s="8"/>
      <c r="L275" s="8"/>
    </row>
    <row r="276" spans="1:12">
      <c r="A276" s="8"/>
      <c r="B276" s="8"/>
      <c r="C276" s="8"/>
      <c r="D276" s="20"/>
      <c r="E276" s="20"/>
      <c r="F276" s="20"/>
      <c r="G276" s="20"/>
      <c r="H276" s="20"/>
      <c r="I276" s="20"/>
      <c r="J276" s="20"/>
      <c r="K276" s="8"/>
      <c r="L276" s="8"/>
    </row>
    <row r="277" spans="1:12">
      <c r="A277" s="8">
        <v>63</v>
      </c>
      <c r="B277" s="8" t="s">
        <v>58</v>
      </c>
      <c r="C277" s="8" t="s">
        <v>12</v>
      </c>
      <c r="D277" s="20">
        <f>11604.48+3240.65</f>
        <v>14845.13</v>
      </c>
      <c r="E277" s="20">
        <v>202.44</v>
      </c>
      <c r="F277" s="20">
        <v>132.43</v>
      </c>
      <c r="G277" s="20">
        <v>0</v>
      </c>
      <c r="H277" s="20">
        <v>0</v>
      </c>
      <c r="I277" s="20">
        <v>0</v>
      </c>
      <c r="J277" s="20">
        <f>SUM(D277:I277)</f>
        <v>15180</v>
      </c>
      <c r="K277" s="8"/>
      <c r="L277" s="8"/>
    </row>
    <row r="278" spans="1:12" ht="15.75" thickBot="1">
      <c r="A278" s="8"/>
      <c r="B278" s="8"/>
      <c r="C278" s="8" t="s">
        <v>13</v>
      </c>
      <c r="D278" s="29">
        <f>380.35+106.22</f>
        <v>486.57000000000005</v>
      </c>
      <c r="E278" s="29">
        <v>6.12</v>
      </c>
      <c r="F278" s="29">
        <v>3.41</v>
      </c>
      <c r="G278" s="29">
        <v>0</v>
      </c>
      <c r="H278" s="29">
        <v>0</v>
      </c>
      <c r="I278" s="29">
        <v>0</v>
      </c>
      <c r="J278" s="29">
        <f>SUM(D278:I278)</f>
        <v>496.10000000000008</v>
      </c>
      <c r="K278" s="8"/>
      <c r="L278" s="8"/>
    </row>
    <row r="279" spans="1:12">
      <c r="A279" s="8"/>
      <c r="B279" s="8"/>
      <c r="C279" s="8"/>
      <c r="D279" s="20"/>
      <c r="E279" s="20"/>
      <c r="F279" s="20"/>
      <c r="G279" s="20"/>
      <c r="H279" s="20"/>
      <c r="I279" s="20"/>
      <c r="J279" s="20"/>
      <c r="K279" s="8"/>
      <c r="L279" s="8"/>
    </row>
    <row r="280" spans="1:12" ht="15.75" thickBot="1">
      <c r="A280" s="8"/>
      <c r="B280" s="8"/>
      <c r="C280" s="8" t="s">
        <v>10</v>
      </c>
      <c r="D280" s="31">
        <f t="shared" ref="D280:I280" si="43">SUM(D277:D278)</f>
        <v>15331.699999999999</v>
      </c>
      <c r="E280" s="31">
        <f t="shared" si="43"/>
        <v>208.56</v>
      </c>
      <c r="F280" s="31">
        <f t="shared" si="43"/>
        <v>135.84</v>
      </c>
      <c r="G280" s="31">
        <f t="shared" si="43"/>
        <v>0</v>
      </c>
      <c r="H280" s="31">
        <f t="shared" si="43"/>
        <v>0</v>
      </c>
      <c r="I280" s="31">
        <f t="shared" si="43"/>
        <v>0</v>
      </c>
      <c r="J280" s="31">
        <f>SUM(D280:I280)</f>
        <v>15676.099999999999</v>
      </c>
      <c r="K280" s="8"/>
      <c r="L280" s="8"/>
    </row>
    <row r="281" spans="1:12" ht="15.75" thickTop="1">
      <c r="A281" s="8"/>
      <c r="B281" s="8"/>
      <c r="C281" s="8"/>
      <c r="D281" s="20"/>
      <c r="E281" s="20"/>
      <c r="F281" s="20"/>
      <c r="G281" s="20"/>
      <c r="H281" s="20"/>
      <c r="I281" s="20"/>
      <c r="J281" s="20"/>
      <c r="K281" s="8"/>
      <c r="L281" s="8"/>
    </row>
    <row r="282" spans="1:12">
      <c r="A282" s="8"/>
      <c r="B282" s="8"/>
      <c r="C282" s="8"/>
      <c r="D282" s="20"/>
      <c r="E282" s="20"/>
      <c r="F282" s="20"/>
      <c r="G282" s="20"/>
      <c r="H282" s="20"/>
      <c r="I282" s="20"/>
      <c r="J282" s="20"/>
      <c r="K282" s="8"/>
      <c r="L282" s="8"/>
    </row>
    <row r="283" spans="1:12" ht="15.75" thickBot="1">
      <c r="A283" s="8">
        <v>64</v>
      </c>
      <c r="B283" s="8" t="s">
        <v>59</v>
      </c>
      <c r="C283" s="8" t="s">
        <v>12</v>
      </c>
      <c r="D283" s="29">
        <f>48046.57+10678.89</f>
        <v>58725.46</v>
      </c>
      <c r="E283" s="29">
        <v>2929.57</v>
      </c>
      <c r="F283" s="29">
        <v>0</v>
      </c>
      <c r="G283" s="29">
        <v>0</v>
      </c>
      <c r="H283" s="29">
        <v>0</v>
      </c>
      <c r="I283" s="29">
        <v>0</v>
      </c>
      <c r="J283" s="29">
        <f>SUM(D283:I283)</f>
        <v>61655.03</v>
      </c>
      <c r="K283" s="8"/>
      <c r="L283" s="8"/>
    </row>
    <row r="284" spans="1:12">
      <c r="A284" s="8"/>
      <c r="B284" s="8"/>
      <c r="C284" s="8"/>
      <c r="D284" s="20"/>
      <c r="E284" s="20"/>
      <c r="F284" s="20"/>
      <c r="G284" s="20"/>
      <c r="H284" s="20"/>
      <c r="I284" s="20"/>
      <c r="J284" s="20"/>
      <c r="K284" s="8"/>
      <c r="L284" s="8"/>
    </row>
    <row r="285" spans="1:12" ht="15.75" thickBot="1">
      <c r="A285" s="8"/>
      <c r="B285" s="8"/>
      <c r="C285" s="8" t="s">
        <v>10</v>
      </c>
      <c r="D285" s="31">
        <f t="shared" ref="D285:I285" si="44">SUM(D283:D284)</f>
        <v>58725.46</v>
      </c>
      <c r="E285" s="31">
        <f t="shared" si="44"/>
        <v>2929.57</v>
      </c>
      <c r="F285" s="31">
        <f t="shared" si="44"/>
        <v>0</v>
      </c>
      <c r="G285" s="31">
        <f t="shared" si="44"/>
        <v>0</v>
      </c>
      <c r="H285" s="31">
        <f t="shared" si="44"/>
        <v>0</v>
      </c>
      <c r="I285" s="31">
        <f t="shared" si="44"/>
        <v>0</v>
      </c>
      <c r="J285" s="31">
        <f>SUM(D285:I285)</f>
        <v>61655.03</v>
      </c>
      <c r="K285" s="8"/>
      <c r="L285" s="8"/>
    </row>
    <row r="286" spans="1:12" ht="15.75" thickTop="1">
      <c r="A286" s="8"/>
      <c r="B286" s="8"/>
      <c r="C286" s="8"/>
      <c r="D286" s="20"/>
      <c r="E286" s="20"/>
      <c r="F286" s="20"/>
      <c r="G286" s="20"/>
      <c r="H286" s="20"/>
      <c r="I286" s="20"/>
      <c r="J286" s="20"/>
      <c r="K286" s="8"/>
      <c r="L286" s="8"/>
    </row>
    <row r="287" spans="1:12">
      <c r="A287" s="8"/>
      <c r="B287" s="12"/>
      <c r="C287" s="12"/>
      <c r="D287" s="36"/>
      <c r="E287" s="36"/>
      <c r="F287" s="36"/>
      <c r="G287" s="22"/>
      <c r="H287" s="22"/>
      <c r="I287" s="22"/>
      <c r="J287" s="20"/>
      <c r="K287" s="8"/>
      <c r="L287" s="8"/>
    </row>
    <row r="288" spans="1:12" ht="15.75" thickBot="1">
      <c r="A288" s="8">
        <v>65</v>
      </c>
      <c r="B288" s="8" t="s">
        <v>60</v>
      </c>
      <c r="C288" s="8" t="s">
        <v>12</v>
      </c>
      <c r="D288" s="29">
        <f>11540.98+3076.39</f>
        <v>14617.369999999999</v>
      </c>
      <c r="E288" s="29">
        <v>11.88</v>
      </c>
      <c r="F288" s="29">
        <v>0</v>
      </c>
      <c r="G288" s="29">
        <v>0</v>
      </c>
      <c r="H288" s="29">
        <v>0</v>
      </c>
      <c r="I288" s="29">
        <v>0</v>
      </c>
      <c r="J288" s="29">
        <f>SUM(D288:I288)</f>
        <v>14629.249999999998</v>
      </c>
      <c r="K288" s="8"/>
      <c r="L288" s="8"/>
    </row>
    <row r="289" spans="1:12" ht="15.75" hidden="1" thickBot="1">
      <c r="A289" s="8"/>
      <c r="B289" s="8"/>
      <c r="C289" s="8" t="s">
        <v>13</v>
      </c>
      <c r="D289" s="29"/>
      <c r="E289" s="29"/>
      <c r="F289" s="29"/>
      <c r="G289" s="29"/>
      <c r="H289" s="29"/>
      <c r="I289" s="29"/>
      <c r="J289" s="29"/>
      <c r="K289" s="8"/>
      <c r="L289" s="8"/>
    </row>
    <row r="290" spans="1:12">
      <c r="A290" s="8"/>
      <c r="B290" s="8"/>
      <c r="C290" s="8"/>
      <c r="D290" s="20"/>
      <c r="E290" s="20"/>
      <c r="F290" s="20"/>
      <c r="G290" s="20"/>
      <c r="H290" s="20"/>
      <c r="I290" s="20"/>
      <c r="J290" s="20"/>
      <c r="K290" s="8"/>
      <c r="L290" s="8"/>
    </row>
    <row r="291" spans="1:12" ht="15.75" thickBot="1">
      <c r="A291" s="8"/>
      <c r="B291" s="8"/>
      <c r="C291" s="8" t="s">
        <v>10</v>
      </c>
      <c r="D291" s="31">
        <f t="shared" ref="D291:I291" si="45">SUM(D288:D289)</f>
        <v>14617.369999999999</v>
      </c>
      <c r="E291" s="31">
        <f t="shared" si="45"/>
        <v>11.88</v>
      </c>
      <c r="F291" s="31">
        <f t="shared" si="45"/>
        <v>0</v>
      </c>
      <c r="G291" s="31">
        <f t="shared" si="45"/>
        <v>0</v>
      </c>
      <c r="H291" s="31">
        <f t="shared" si="45"/>
        <v>0</v>
      </c>
      <c r="I291" s="31">
        <f t="shared" si="45"/>
        <v>0</v>
      </c>
      <c r="J291" s="31">
        <f>SUM(D291:I291)</f>
        <v>14629.249999999998</v>
      </c>
      <c r="K291" s="8"/>
      <c r="L291" s="8"/>
    </row>
    <row r="292" spans="1:12" ht="15.75" thickTop="1">
      <c r="A292" s="8"/>
      <c r="B292" s="8"/>
      <c r="C292" s="8"/>
      <c r="D292" s="20"/>
      <c r="E292" s="20"/>
      <c r="F292" s="20"/>
      <c r="G292" s="20"/>
      <c r="H292" s="20"/>
      <c r="I292" s="20"/>
      <c r="J292" s="20"/>
      <c r="K292" s="8"/>
      <c r="L292" s="8"/>
    </row>
    <row r="293" spans="1:12">
      <c r="A293" s="8"/>
      <c r="B293" s="8"/>
      <c r="C293" s="8"/>
      <c r="D293" s="20"/>
      <c r="E293" s="20"/>
      <c r="F293" s="20"/>
      <c r="G293" s="20"/>
      <c r="H293" s="20"/>
      <c r="I293" s="20"/>
      <c r="J293" s="20"/>
      <c r="K293" s="8"/>
      <c r="L293" s="8"/>
    </row>
    <row r="294" spans="1:12">
      <c r="A294" s="8">
        <v>66</v>
      </c>
      <c r="B294" s="8" t="s">
        <v>61</v>
      </c>
      <c r="C294" s="8" t="s">
        <v>12</v>
      </c>
      <c r="D294" s="20">
        <f>13551.72+3000.34</f>
        <v>16552.059999999998</v>
      </c>
      <c r="E294" s="20">
        <v>36.67</v>
      </c>
      <c r="F294" s="20">
        <v>12.95</v>
      </c>
      <c r="G294" s="20">
        <v>0</v>
      </c>
      <c r="H294" s="20">
        <v>0</v>
      </c>
      <c r="I294" s="20">
        <v>0</v>
      </c>
      <c r="J294" s="20">
        <f>SUM(D294:I294)</f>
        <v>16601.679999999997</v>
      </c>
      <c r="K294" s="8"/>
      <c r="L294" s="8"/>
    </row>
    <row r="295" spans="1:12">
      <c r="A295" s="8"/>
      <c r="B295" s="8"/>
      <c r="C295" s="38" t="s">
        <v>35</v>
      </c>
      <c r="D295" s="20">
        <v>0</v>
      </c>
      <c r="E295" s="20">
        <v>0</v>
      </c>
      <c r="F295" s="20">
        <v>0.96</v>
      </c>
      <c r="G295" s="20">
        <v>0</v>
      </c>
      <c r="H295" s="20">
        <v>0</v>
      </c>
      <c r="I295" s="20">
        <v>0</v>
      </c>
      <c r="J295" s="20">
        <f>SUM(D295:I295)</f>
        <v>0.96</v>
      </c>
      <c r="K295" s="8"/>
      <c r="L295" s="8"/>
    </row>
    <row r="296" spans="1:12" hidden="1">
      <c r="A296" s="8"/>
      <c r="B296" s="8"/>
      <c r="C296" s="38" t="s">
        <v>73</v>
      </c>
      <c r="D296" s="20">
        <v>0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f>SUM(D296:I296)</f>
        <v>0</v>
      </c>
      <c r="K296" s="8"/>
      <c r="L296" s="8"/>
    </row>
    <row r="297" spans="1:12" ht="15.75" thickBot="1">
      <c r="A297" s="8"/>
      <c r="B297" s="8"/>
      <c r="C297" s="38" t="s">
        <v>109</v>
      </c>
      <c r="D297" s="29">
        <v>0</v>
      </c>
      <c r="E297" s="29">
        <v>0</v>
      </c>
      <c r="F297" s="29">
        <v>1.44</v>
      </c>
      <c r="G297" s="29">
        <v>0</v>
      </c>
      <c r="H297" s="29">
        <v>0</v>
      </c>
      <c r="I297" s="29">
        <v>0</v>
      </c>
      <c r="J297" s="29">
        <f>SUM(D297:I297)</f>
        <v>1.44</v>
      </c>
      <c r="K297" s="8"/>
      <c r="L297" s="8"/>
    </row>
    <row r="298" spans="1:12">
      <c r="A298" s="8"/>
      <c r="B298" s="8"/>
      <c r="C298" s="8"/>
      <c r="D298" s="20"/>
      <c r="E298" s="20"/>
      <c r="F298" s="20"/>
      <c r="G298" s="20"/>
      <c r="H298" s="20"/>
      <c r="I298" s="20"/>
      <c r="J298" s="20"/>
      <c r="K298" s="8"/>
      <c r="L298" s="8"/>
    </row>
    <row r="299" spans="1:12" ht="15.75" thickBot="1">
      <c r="A299" s="8"/>
      <c r="B299" s="8"/>
      <c r="C299" s="8" t="s">
        <v>10</v>
      </c>
      <c r="D299" s="31">
        <f t="shared" ref="D299:I299" si="46">SUM(D294:D297)</f>
        <v>16552.059999999998</v>
      </c>
      <c r="E299" s="31">
        <f t="shared" si="46"/>
        <v>36.67</v>
      </c>
      <c r="F299" s="31">
        <f t="shared" si="46"/>
        <v>15.35</v>
      </c>
      <c r="G299" s="31">
        <f t="shared" si="46"/>
        <v>0</v>
      </c>
      <c r="H299" s="31">
        <f t="shared" si="46"/>
        <v>0</v>
      </c>
      <c r="I299" s="31">
        <f t="shared" si="46"/>
        <v>0</v>
      </c>
      <c r="J299" s="31">
        <f>SUM(D299:I299)</f>
        <v>16604.079999999994</v>
      </c>
      <c r="K299" s="8"/>
      <c r="L299" s="8"/>
    </row>
    <row r="300" spans="1:12" ht="15.75" thickTop="1">
      <c r="A300" s="8"/>
      <c r="B300" s="8"/>
      <c r="C300" s="8"/>
      <c r="D300" s="20"/>
      <c r="E300" s="20"/>
      <c r="F300" s="20"/>
      <c r="G300" s="20"/>
      <c r="H300" s="20"/>
      <c r="I300" s="20"/>
      <c r="J300" s="20"/>
      <c r="K300" s="8"/>
      <c r="L300" s="8"/>
    </row>
    <row r="301" spans="1:12">
      <c r="A301" s="8"/>
      <c r="B301" s="8"/>
      <c r="C301" s="8"/>
      <c r="D301" s="20"/>
      <c r="E301" s="20"/>
      <c r="F301" s="20"/>
      <c r="G301" s="20"/>
      <c r="H301" s="20"/>
      <c r="I301" s="20"/>
      <c r="J301" s="20"/>
      <c r="K301" s="8"/>
      <c r="L301" s="8"/>
    </row>
    <row r="302" spans="1:12">
      <c r="A302" s="8">
        <v>67</v>
      </c>
      <c r="B302" s="8" t="s">
        <v>62</v>
      </c>
      <c r="C302" s="8" t="s">
        <v>12</v>
      </c>
      <c r="D302" s="20">
        <f>25643.05+6232.74</f>
        <v>31875.79</v>
      </c>
      <c r="E302" s="20">
        <v>839.61</v>
      </c>
      <c r="F302" s="20">
        <v>236.16</v>
      </c>
      <c r="G302" s="20">
        <v>0</v>
      </c>
      <c r="H302" s="20">
        <v>0</v>
      </c>
      <c r="I302" s="20">
        <v>0</v>
      </c>
      <c r="J302" s="20">
        <f>SUM(D302:I302)</f>
        <v>32951.560000000005</v>
      </c>
      <c r="K302" s="8"/>
      <c r="L302" s="8"/>
    </row>
    <row r="303" spans="1:12" ht="15.75" thickBot="1">
      <c r="A303" s="8"/>
      <c r="B303" s="8"/>
      <c r="C303" s="8" t="s">
        <v>13</v>
      </c>
      <c r="D303" s="29">
        <f>430.73+104.69</f>
        <v>535.42000000000007</v>
      </c>
      <c r="E303" s="29">
        <v>14.07</v>
      </c>
      <c r="F303" s="29">
        <v>4.05</v>
      </c>
      <c r="G303" s="29">
        <v>0</v>
      </c>
      <c r="H303" s="29">
        <v>0</v>
      </c>
      <c r="I303" s="29">
        <v>0</v>
      </c>
      <c r="J303" s="29">
        <f>SUM(D303:I303)</f>
        <v>553.54000000000008</v>
      </c>
      <c r="K303" s="8"/>
      <c r="L303" s="8"/>
    </row>
    <row r="304" spans="1:12">
      <c r="A304" s="8"/>
      <c r="B304" s="8"/>
      <c r="C304" s="8"/>
      <c r="D304" s="20"/>
      <c r="E304" s="20"/>
      <c r="F304" s="20"/>
      <c r="G304" s="20"/>
      <c r="H304" s="20"/>
      <c r="I304" s="20"/>
      <c r="J304" s="20"/>
      <c r="K304" s="8"/>
      <c r="L304" s="8"/>
    </row>
    <row r="305" spans="1:12" ht="15.75" thickBot="1">
      <c r="A305" s="8"/>
      <c r="B305" s="8"/>
      <c r="C305" s="8" t="s">
        <v>10</v>
      </c>
      <c r="D305" s="31">
        <f t="shared" ref="D305:I305" si="47">SUM(D302:D303)</f>
        <v>32411.21</v>
      </c>
      <c r="E305" s="31">
        <f t="shared" si="47"/>
        <v>853.68000000000006</v>
      </c>
      <c r="F305" s="31">
        <f t="shared" si="47"/>
        <v>240.21</v>
      </c>
      <c r="G305" s="31">
        <f t="shared" si="47"/>
        <v>0</v>
      </c>
      <c r="H305" s="31">
        <f t="shared" si="47"/>
        <v>0</v>
      </c>
      <c r="I305" s="31">
        <f t="shared" si="47"/>
        <v>0</v>
      </c>
      <c r="J305" s="31">
        <f>SUM(D305:I305)</f>
        <v>33505.1</v>
      </c>
      <c r="K305" s="8"/>
      <c r="L305" s="8"/>
    </row>
    <row r="306" spans="1:12" ht="15.75" thickTop="1">
      <c r="A306" s="8"/>
      <c r="B306" s="8"/>
      <c r="C306" s="8"/>
      <c r="D306" s="20"/>
      <c r="E306" s="20"/>
      <c r="F306" s="20"/>
      <c r="G306" s="20"/>
      <c r="H306" s="20"/>
      <c r="I306" s="20"/>
      <c r="J306" s="20"/>
      <c r="K306" s="8"/>
      <c r="L306" s="8"/>
    </row>
    <row r="307" spans="1:12">
      <c r="A307" s="8"/>
      <c r="B307" s="8"/>
      <c r="C307" s="8"/>
      <c r="D307" s="20"/>
      <c r="E307" s="20"/>
      <c r="F307" s="20"/>
      <c r="G307" s="20"/>
      <c r="H307" s="20"/>
      <c r="I307" s="20"/>
      <c r="J307" s="20"/>
      <c r="K307" s="8"/>
      <c r="L307" s="8"/>
    </row>
    <row r="308" spans="1:12">
      <c r="A308" s="8">
        <v>68</v>
      </c>
      <c r="B308" s="8" t="s">
        <v>63</v>
      </c>
      <c r="C308" s="8" t="s">
        <v>12</v>
      </c>
      <c r="D308" s="25">
        <f>8738.25+2145.88</f>
        <v>10884.130000000001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f>SUM(D308:I308)</f>
        <v>10884.130000000001</v>
      </c>
      <c r="K308" s="8"/>
      <c r="L308" s="8"/>
    </row>
    <row r="309" spans="1:12" ht="15.75" hidden="1" thickBot="1">
      <c r="A309" s="8"/>
      <c r="B309" s="8"/>
      <c r="C309" s="8" t="s">
        <v>13</v>
      </c>
      <c r="D309" s="29"/>
      <c r="E309" s="29"/>
      <c r="F309" s="29"/>
      <c r="G309" s="29"/>
      <c r="H309" s="29"/>
      <c r="I309" s="29"/>
      <c r="J309" s="29"/>
      <c r="K309" s="8"/>
      <c r="L309" s="8"/>
    </row>
    <row r="310" spans="1:12">
      <c r="A310" s="8"/>
      <c r="B310" s="8"/>
      <c r="C310" s="8"/>
      <c r="D310" s="20"/>
      <c r="E310" s="20"/>
      <c r="F310" s="20"/>
      <c r="G310" s="20"/>
      <c r="H310" s="20"/>
      <c r="I310" s="20"/>
      <c r="J310" s="20"/>
      <c r="K310" s="8"/>
      <c r="L310" s="8"/>
    </row>
    <row r="311" spans="1:12" ht="15.75" thickBot="1">
      <c r="A311" s="8"/>
      <c r="B311" s="8"/>
      <c r="C311" s="8" t="s">
        <v>10</v>
      </c>
      <c r="D311" s="31">
        <f t="shared" ref="D311:I311" si="48">SUM(D308:D309)</f>
        <v>10884.130000000001</v>
      </c>
      <c r="E311" s="31">
        <f t="shared" si="48"/>
        <v>0</v>
      </c>
      <c r="F311" s="31">
        <f t="shared" si="48"/>
        <v>0</v>
      </c>
      <c r="G311" s="31">
        <f t="shared" si="48"/>
        <v>0</v>
      </c>
      <c r="H311" s="31">
        <f t="shared" si="48"/>
        <v>0</v>
      </c>
      <c r="I311" s="31">
        <f t="shared" si="48"/>
        <v>0</v>
      </c>
      <c r="J311" s="31">
        <f>SUM(D311:I311)</f>
        <v>10884.130000000001</v>
      </c>
      <c r="K311" s="8"/>
      <c r="L311" s="8"/>
    </row>
    <row r="312" spans="1:12" ht="15.75" thickTop="1">
      <c r="A312" s="8"/>
      <c r="B312" s="8"/>
      <c r="C312" s="8"/>
      <c r="D312" s="20"/>
      <c r="E312" s="20"/>
      <c r="F312" s="20"/>
      <c r="G312" s="20"/>
      <c r="H312" s="20"/>
      <c r="I312" s="20"/>
      <c r="J312" s="20"/>
      <c r="K312" s="8"/>
      <c r="L312" s="8"/>
    </row>
    <row r="313" spans="1:12">
      <c r="A313" s="8"/>
      <c r="B313" s="8"/>
      <c r="C313" s="8"/>
      <c r="D313" s="20"/>
      <c r="E313" s="20"/>
      <c r="F313" s="20"/>
      <c r="G313" s="20"/>
      <c r="H313" s="20"/>
      <c r="I313" s="20"/>
      <c r="J313" s="20"/>
      <c r="K313" s="8"/>
      <c r="L313" s="8"/>
    </row>
    <row r="314" spans="1:12">
      <c r="A314" s="8">
        <v>69</v>
      </c>
      <c r="B314" s="8" t="s">
        <v>64</v>
      </c>
      <c r="C314" s="8" t="s">
        <v>12</v>
      </c>
      <c r="D314" s="25">
        <f>6727.38+1778.01</f>
        <v>8505.39</v>
      </c>
      <c r="E314" s="25">
        <v>33.049999999999997</v>
      </c>
      <c r="F314" s="25">
        <v>18.23</v>
      </c>
      <c r="G314" s="25">
        <v>0</v>
      </c>
      <c r="H314" s="25">
        <v>0</v>
      </c>
      <c r="I314" s="25">
        <v>0</v>
      </c>
      <c r="J314" s="25">
        <f>SUM(D314:I314)</f>
        <v>8556.6699999999983</v>
      </c>
      <c r="K314" s="8"/>
      <c r="L314" s="8"/>
    </row>
    <row r="315" spans="1:12" ht="15.75" hidden="1" thickBot="1">
      <c r="A315" s="8"/>
      <c r="B315" s="8"/>
      <c r="C315" s="8" t="s">
        <v>13</v>
      </c>
      <c r="D315" s="29"/>
      <c r="E315" s="29"/>
      <c r="F315" s="29"/>
      <c r="G315" s="29"/>
      <c r="H315" s="29"/>
      <c r="I315" s="29"/>
      <c r="J315" s="29">
        <v>0</v>
      </c>
      <c r="K315" s="8"/>
      <c r="L315" s="8"/>
    </row>
    <row r="316" spans="1:12">
      <c r="A316" s="8"/>
      <c r="B316" s="8"/>
      <c r="C316" s="8"/>
      <c r="D316" s="20"/>
      <c r="E316" s="20"/>
      <c r="F316" s="20"/>
      <c r="G316" s="20"/>
      <c r="H316" s="20"/>
      <c r="I316" s="20"/>
      <c r="J316" s="20"/>
      <c r="K316" s="8"/>
      <c r="L316" s="8"/>
    </row>
    <row r="317" spans="1:12" ht="15.75" thickBot="1">
      <c r="A317" s="8"/>
      <c r="B317" s="8"/>
      <c r="C317" s="8" t="s">
        <v>10</v>
      </c>
      <c r="D317" s="31">
        <f t="shared" ref="D317:I317" si="49">SUM(D314:D315)</f>
        <v>8505.39</v>
      </c>
      <c r="E317" s="31">
        <f t="shared" si="49"/>
        <v>33.049999999999997</v>
      </c>
      <c r="F317" s="31">
        <f t="shared" si="49"/>
        <v>18.23</v>
      </c>
      <c r="G317" s="31">
        <f t="shared" si="49"/>
        <v>0</v>
      </c>
      <c r="H317" s="31">
        <f t="shared" si="49"/>
        <v>0</v>
      </c>
      <c r="I317" s="31">
        <f t="shared" si="49"/>
        <v>0</v>
      </c>
      <c r="J317" s="31">
        <f>SUM(D317:I317)</f>
        <v>8556.6699999999983</v>
      </c>
      <c r="K317" s="8"/>
      <c r="L317" s="8"/>
    </row>
    <row r="318" spans="1:12" ht="15.75" thickTop="1">
      <c r="A318" s="8"/>
      <c r="B318" s="8"/>
      <c r="C318" s="8"/>
      <c r="D318" s="20"/>
      <c r="E318" s="20"/>
      <c r="F318" s="20"/>
      <c r="G318" s="20"/>
      <c r="H318" s="20"/>
      <c r="I318" s="20"/>
      <c r="J318" s="20"/>
      <c r="K318" s="8"/>
      <c r="L318" s="8"/>
    </row>
    <row r="319" spans="1:12">
      <c r="A319" s="8"/>
      <c r="B319" s="8"/>
      <c r="C319" s="8"/>
      <c r="D319" s="20"/>
      <c r="E319" s="20"/>
      <c r="F319" s="20"/>
      <c r="G319" s="20"/>
      <c r="H319" s="20"/>
      <c r="I319" s="20"/>
      <c r="J319" s="20"/>
      <c r="K319" s="8"/>
      <c r="L319" s="8"/>
    </row>
    <row r="320" spans="1:12">
      <c r="A320" s="8">
        <v>70</v>
      </c>
      <c r="B320" s="8" t="s">
        <v>65</v>
      </c>
      <c r="C320" s="8" t="s">
        <v>12</v>
      </c>
      <c r="D320" s="25">
        <f>8209.46+1949.42</f>
        <v>10158.879999999999</v>
      </c>
      <c r="E320" s="25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f>SUM(D320:I320)</f>
        <v>10158.879999999999</v>
      </c>
      <c r="K320" s="8"/>
      <c r="L320" s="8"/>
    </row>
    <row r="321" spans="1:12" ht="15.75" hidden="1" thickBot="1">
      <c r="A321" s="8"/>
      <c r="B321" s="8"/>
      <c r="C321" s="8" t="s">
        <v>78</v>
      </c>
      <c r="D321" s="29"/>
      <c r="E321" s="29"/>
      <c r="F321" s="29"/>
      <c r="G321" s="29"/>
      <c r="H321" s="29"/>
      <c r="I321" s="29"/>
      <c r="J321" s="29">
        <f>SUM(D321:I321)</f>
        <v>0</v>
      </c>
      <c r="K321" s="8"/>
      <c r="L321" s="8"/>
    </row>
    <row r="322" spans="1:12">
      <c r="A322" s="8"/>
      <c r="B322" s="8"/>
      <c r="C322" s="8"/>
      <c r="D322" s="20"/>
      <c r="E322" s="20"/>
      <c r="F322" s="20"/>
      <c r="G322" s="20"/>
      <c r="H322" s="20"/>
      <c r="I322" s="20"/>
      <c r="J322" s="20"/>
      <c r="K322" s="8"/>
      <c r="L322" s="8"/>
    </row>
    <row r="323" spans="1:12" ht="15.75" thickBot="1">
      <c r="A323" s="8"/>
      <c r="B323" s="8"/>
      <c r="C323" s="8" t="s">
        <v>10</v>
      </c>
      <c r="D323" s="31">
        <f t="shared" ref="D323:I323" si="50">SUM(D320:D322)</f>
        <v>10158.879999999999</v>
      </c>
      <c r="E323" s="31">
        <f t="shared" si="50"/>
        <v>0</v>
      </c>
      <c r="F323" s="31">
        <f t="shared" si="50"/>
        <v>0</v>
      </c>
      <c r="G323" s="31">
        <f t="shared" si="50"/>
        <v>0</v>
      </c>
      <c r="H323" s="31">
        <f t="shared" si="50"/>
        <v>0</v>
      </c>
      <c r="I323" s="31">
        <f t="shared" si="50"/>
        <v>0</v>
      </c>
      <c r="J323" s="31">
        <f>SUM(D323:I323)</f>
        <v>10158.879999999999</v>
      </c>
      <c r="K323" s="8"/>
      <c r="L323" s="8"/>
    </row>
    <row r="324" spans="1:12" ht="15.75" thickTop="1">
      <c r="A324" s="8"/>
      <c r="B324" s="8"/>
      <c r="C324" s="8"/>
      <c r="D324" s="20"/>
      <c r="E324" s="20"/>
      <c r="F324" s="20"/>
      <c r="G324" s="20"/>
      <c r="H324" s="20"/>
      <c r="I324" s="20"/>
      <c r="J324" s="20"/>
      <c r="K324" s="8"/>
      <c r="L324" s="8"/>
    </row>
    <row r="325" spans="1:12">
      <c r="A325" s="8"/>
      <c r="B325" s="8"/>
      <c r="C325" s="8" t="s">
        <v>66</v>
      </c>
      <c r="D325" s="20">
        <f t="shared" ref="D325:I325" si="51">SUM(D9:D323)/2</f>
        <v>995457.55999999982</v>
      </c>
      <c r="E325" s="20">
        <f t="shared" si="51"/>
        <v>8859.7099999999973</v>
      </c>
      <c r="F325" s="20">
        <f t="shared" si="51"/>
        <v>2147.0099999999993</v>
      </c>
      <c r="G325" s="20">
        <f t="shared" si="51"/>
        <v>0</v>
      </c>
      <c r="H325" s="20">
        <f t="shared" si="51"/>
        <v>0</v>
      </c>
      <c r="I325" s="20">
        <f t="shared" si="51"/>
        <v>0</v>
      </c>
      <c r="J325" s="20">
        <f>SUM(D325:I325)</f>
        <v>1006464.2799999998</v>
      </c>
      <c r="K325" s="8"/>
      <c r="L325" s="8"/>
    </row>
    <row r="326" spans="1:12">
      <c r="A326" s="8"/>
      <c r="B326" s="8"/>
      <c r="C326" s="8"/>
      <c r="D326" s="20"/>
      <c r="E326" s="20"/>
      <c r="F326" s="20"/>
      <c r="G326" s="20"/>
      <c r="H326" s="20"/>
      <c r="I326" s="20"/>
      <c r="J326" s="20"/>
      <c r="K326" s="8"/>
      <c r="L326" s="8"/>
    </row>
    <row r="327" spans="1:12">
      <c r="A327" s="8"/>
      <c r="B327" s="8"/>
      <c r="C327" s="8"/>
      <c r="D327" s="20"/>
      <c r="E327" s="20"/>
      <c r="F327" s="20"/>
      <c r="G327" s="20"/>
      <c r="H327" s="20"/>
      <c r="I327" s="20"/>
      <c r="J327" s="20"/>
      <c r="K327" s="8"/>
      <c r="L327" s="8"/>
    </row>
  </sheetData>
  <pageMargins left="0.25" right="0.25" top="0.25" bottom="0.25" header="0.5" footer="0.5"/>
  <pageSetup scale="70" fitToHeight="50" orientation="landscape" r:id="rId1"/>
  <headerFooter alignWithMargins="0"/>
  <rowBreaks count="51" manualBreakCount="51">
    <brk id="7" max="65535" man="1"/>
    <brk id="13" max="16383" man="1"/>
    <brk id="19" max="16383" man="1"/>
    <brk id="25" max="16383" man="1"/>
    <brk id="31" max="16383" man="1"/>
    <brk id="37" max="16383" man="1"/>
    <brk id="44" max="16383" man="1"/>
    <brk id="49" max="65535" man="1"/>
    <brk id="57" max="16383" man="1"/>
    <brk id="66" max="16383" man="1"/>
    <brk id="72" max="16383" man="1"/>
    <brk id="78" max="16383" man="1"/>
    <brk id="86" max="16383" man="1"/>
    <brk id="92" max="16383" man="1"/>
    <brk id="100" max="16383" man="1"/>
    <brk id="106" max="16383" man="1"/>
    <brk id="113" max="16383" man="1"/>
    <brk id="118" max="16383" man="1"/>
    <brk id="126" max="16383" man="1"/>
    <brk id="130" max="9" man="1"/>
    <brk id="136" max="16383" man="1"/>
    <brk id="143" max="16383" man="1"/>
    <brk id="149" max="16383" man="1"/>
    <brk id="157" max="16383" man="1"/>
    <brk id="162" max="9" man="1"/>
    <brk id="168" max="16383" man="1"/>
    <brk id="173" max="16383" man="1"/>
    <brk id="178" max="16383" man="1"/>
    <brk id="183" max="16383" man="1"/>
    <brk id="188" max="16383" man="1"/>
    <brk id="194" max="16383" man="1"/>
    <brk id="201" max="16383" man="1"/>
    <brk id="207" max="16383" man="1"/>
    <brk id="215" max="16383" man="1"/>
    <brk id="221" max="16383" man="1"/>
    <brk id="227" max="16383" man="1"/>
    <brk id="233" max="16383" man="1"/>
    <brk id="241" max="16383" man="1"/>
    <brk id="247" max="16383" man="1"/>
    <brk id="253" max="16383" man="1"/>
    <brk id="262" max="16383" man="1"/>
    <brk id="269" max="16383" man="1"/>
    <brk id="275" max="16383" man="1"/>
    <brk id="281" max="16383" man="1"/>
    <brk id="286" max="16383" man="1"/>
    <brk id="292" max="16383" man="1"/>
    <brk id="300" max="16383" man="1"/>
    <brk id="306" max="16383" man="1"/>
    <brk id="312" max="16383" man="1"/>
    <brk id="318" max="16383" man="1"/>
    <brk id="324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autoPageBreaks="0"/>
  </sheetPr>
  <dimension ref="A1:L327"/>
  <sheetViews>
    <sheetView showOutlineSymbols="0" defaultGridColor="0" view="pageBreakPreview" colorId="23" zoomScale="60" zoomScaleNormal="75" workbookViewId="0">
      <selection activeCell="D322" sqref="D322"/>
    </sheetView>
  </sheetViews>
  <sheetFormatPr defaultColWidth="9.6640625" defaultRowHeight="15"/>
  <cols>
    <col min="1" max="1" width="9.6640625" style="10" customWidth="1"/>
    <col min="2" max="2" width="27.44140625" style="10" bestFit="1" customWidth="1"/>
    <col min="3" max="3" width="24.44140625" style="10" bestFit="1" customWidth="1"/>
    <col min="4" max="5" width="12.77734375" style="23" customWidth="1"/>
    <col min="6" max="6" width="12.6640625" style="23" customWidth="1"/>
    <col min="7" max="8" width="11.6640625" style="23" hidden="1" customWidth="1"/>
    <col min="9" max="9" width="9.6640625" style="23" hidden="1" customWidth="1"/>
    <col min="10" max="10" width="14.44140625" style="23" customWidth="1"/>
    <col min="11" max="16384" width="9.6640625" style="10"/>
  </cols>
  <sheetData>
    <row r="1" spans="1:12">
      <c r="A1" s="8"/>
      <c r="B1" s="8"/>
      <c r="C1" s="8"/>
      <c r="D1" s="20"/>
      <c r="E1" s="20"/>
      <c r="F1" s="20"/>
      <c r="G1" s="20"/>
      <c r="H1" s="20"/>
      <c r="I1" s="21"/>
      <c r="J1" s="20"/>
      <c r="K1" s="8"/>
      <c r="L1" s="8"/>
    </row>
    <row r="2" spans="1:12">
      <c r="A2" s="8"/>
      <c r="B2" s="8"/>
      <c r="C2" s="8"/>
      <c r="D2" s="20"/>
      <c r="E2" s="20"/>
      <c r="F2" s="20"/>
      <c r="G2" s="20"/>
      <c r="H2" s="20"/>
      <c r="I2" s="20"/>
      <c r="J2" s="20"/>
      <c r="K2" s="8"/>
      <c r="L2" s="8"/>
    </row>
    <row r="3" spans="1:12">
      <c r="A3" s="8"/>
      <c r="B3" s="8"/>
      <c r="C3" s="8"/>
      <c r="D3" s="20"/>
      <c r="E3" s="20"/>
      <c r="F3" s="20"/>
      <c r="G3" s="20"/>
      <c r="H3" s="20"/>
      <c r="I3" s="20"/>
      <c r="J3" s="20"/>
      <c r="K3" s="8"/>
      <c r="L3" s="8"/>
    </row>
    <row r="4" spans="1:12" ht="15.75">
      <c r="A4" s="8"/>
      <c r="B4" s="11" t="s">
        <v>1</v>
      </c>
      <c r="C4" s="9"/>
      <c r="D4" s="21"/>
      <c r="E4" s="21"/>
      <c r="F4" s="21"/>
      <c r="G4" s="21"/>
      <c r="H4" s="21"/>
      <c r="I4" s="21"/>
      <c r="J4" s="21"/>
      <c r="K4" s="8"/>
      <c r="L4" s="8"/>
    </row>
    <row r="5" spans="1:12" ht="15.75">
      <c r="A5" s="8"/>
      <c r="B5" s="11" t="s">
        <v>123</v>
      </c>
      <c r="C5" s="9"/>
      <c r="D5" s="21"/>
      <c r="E5" s="21"/>
      <c r="F5" s="21"/>
      <c r="G5" s="21"/>
      <c r="H5" s="21"/>
      <c r="I5" s="21"/>
      <c r="J5" s="21"/>
      <c r="K5" s="8"/>
      <c r="L5" s="8"/>
    </row>
    <row r="6" spans="1:12">
      <c r="A6" s="8"/>
      <c r="B6" s="8"/>
      <c r="C6" s="8"/>
      <c r="D6" s="20"/>
      <c r="E6" s="20"/>
      <c r="F6" s="20"/>
      <c r="G6" s="20"/>
      <c r="H6" s="20"/>
      <c r="I6" s="20"/>
      <c r="J6" s="20"/>
      <c r="K6" s="8"/>
      <c r="L6" s="8"/>
    </row>
    <row r="7" spans="1:12">
      <c r="A7" s="8"/>
      <c r="B7" s="12" t="s">
        <v>3</v>
      </c>
      <c r="C7" s="12" t="s">
        <v>4</v>
      </c>
      <c r="D7" s="51" t="s">
        <v>124</v>
      </c>
      <c r="E7" s="51" t="s">
        <v>120</v>
      </c>
      <c r="F7" s="52" t="s">
        <v>121</v>
      </c>
      <c r="G7" s="22">
        <v>2011</v>
      </c>
      <c r="H7" s="22">
        <v>2010</v>
      </c>
      <c r="I7" s="49">
        <v>2009</v>
      </c>
      <c r="J7" s="22" t="s">
        <v>10</v>
      </c>
      <c r="K7" s="8"/>
      <c r="L7" s="8"/>
    </row>
    <row r="8" spans="1:12">
      <c r="A8" s="8"/>
      <c r="B8" s="8"/>
      <c r="C8" s="8"/>
      <c r="D8" s="20"/>
      <c r="E8" s="20"/>
      <c r="F8" s="20"/>
      <c r="G8" s="20"/>
      <c r="H8" s="20"/>
      <c r="I8" s="20"/>
      <c r="J8" s="20"/>
      <c r="K8" s="8"/>
      <c r="L8" s="8"/>
    </row>
    <row r="9" spans="1:12">
      <c r="A9" s="8">
        <v>21</v>
      </c>
      <c r="B9" s="8" t="s">
        <v>11</v>
      </c>
      <c r="C9" s="8" t="s">
        <v>12</v>
      </c>
      <c r="D9" s="20">
        <v>4590.62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f>SUM(D9:I9)</f>
        <v>4590.62</v>
      </c>
      <c r="K9" s="8"/>
      <c r="L9" s="8"/>
    </row>
    <row r="10" spans="1:12" ht="15.75" thickBot="1">
      <c r="A10" s="8"/>
      <c r="B10" s="8"/>
      <c r="C10" s="8" t="s">
        <v>13</v>
      </c>
      <c r="D10" s="29">
        <v>329.76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f>SUM(D10:I10)</f>
        <v>329.76</v>
      </c>
      <c r="K10" s="8"/>
      <c r="L10" s="8"/>
    </row>
    <row r="11" spans="1:12">
      <c r="A11" s="8"/>
      <c r="B11" s="8"/>
      <c r="C11" s="8"/>
      <c r="D11" s="20"/>
      <c r="E11" s="20"/>
      <c r="F11" s="20"/>
      <c r="G11" s="20"/>
      <c r="H11" s="20"/>
      <c r="I11" s="20"/>
      <c r="J11" s="20"/>
      <c r="K11" s="8"/>
      <c r="L11" s="8"/>
    </row>
    <row r="12" spans="1:12" ht="15.75" thickBot="1">
      <c r="A12" s="8"/>
      <c r="B12" s="8"/>
      <c r="C12" s="8" t="s">
        <v>10</v>
      </c>
      <c r="D12" s="31">
        <f t="shared" ref="D12:I12" si="0">SUM(D9:D10)</f>
        <v>4920.38</v>
      </c>
      <c r="E12" s="31">
        <f t="shared" si="0"/>
        <v>0</v>
      </c>
      <c r="F12" s="31">
        <f t="shared" si="0"/>
        <v>0</v>
      </c>
      <c r="G12" s="31">
        <f t="shared" si="0"/>
        <v>0</v>
      </c>
      <c r="H12" s="31">
        <f t="shared" si="0"/>
        <v>0</v>
      </c>
      <c r="I12" s="31">
        <f t="shared" si="0"/>
        <v>0</v>
      </c>
      <c r="J12" s="31">
        <f>SUM(D12:I12)</f>
        <v>4920.38</v>
      </c>
      <c r="K12" s="8"/>
      <c r="L12" s="8"/>
    </row>
    <row r="13" spans="1:12" ht="15.75" thickTop="1">
      <c r="A13" s="8"/>
      <c r="B13" s="8"/>
      <c r="C13" s="8"/>
      <c r="D13" s="20"/>
      <c r="E13" s="20"/>
      <c r="F13" s="20"/>
      <c r="G13" s="20"/>
      <c r="H13" s="20"/>
      <c r="I13" s="20"/>
      <c r="J13" s="20"/>
      <c r="K13" s="8"/>
      <c r="L13" s="8"/>
    </row>
    <row r="14" spans="1:12">
      <c r="A14" s="8"/>
      <c r="B14" s="8"/>
      <c r="C14" s="8"/>
      <c r="D14" s="20"/>
      <c r="E14" s="20"/>
      <c r="F14" s="20"/>
      <c r="G14" s="20"/>
      <c r="H14" s="20"/>
      <c r="I14" s="20"/>
      <c r="J14" s="20"/>
      <c r="K14" s="8"/>
      <c r="L14" s="8"/>
    </row>
    <row r="15" spans="1:12">
      <c r="A15" s="8">
        <v>22</v>
      </c>
      <c r="B15" s="8" t="s">
        <v>15</v>
      </c>
      <c r="C15" s="8" t="s">
        <v>12</v>
      </c>
      <c r="D15" s="20">
        <v>14190.45</v>
      </c>
      <c r="E15" s="20">
        <v>134.75</v>
      </c>
      <c r="F15" s="20">
        <v>53.4</v>
      </c>
      <c r="G15" s="20">
        <v>0</v>
      </c>
      <c r="H15" s="20">
        <v>0</v>
      </c>
      <c r="I15" s="20">
        <v>0</v>
      </c>
      <c r="J15" s="20">
        <f>SUM(D15:I15)</f>
        <v>14378.6</v>
      </c>
      <c r="K15" s="8"/>
      <c r="L15" s="8"/>
    </row>
    <row r="16" spans="1:12" ht="15.75" thickBot="1">
      <c r="A16" s="8"/>
      <c r="B16" s="8"/>
      <c r="C16" s="8" t="s">
        <v>13</v>
      </c>
      <c r="D16" s="29">
        <v>394.17</v>
      </c>
      <c r="E16" s="29">
        <v>5.53</v>
      </c>
      <c r="F16" s="29">
        <v>2.57</v>
      </c>
      <c r="G16" s="29">
        <v>0</v>
      </c>
      <c r="H16" s="29">
        <v>0</v>
      </c>
      <c r="I16" s="29">
        <v>0</v>
      </c>
      <c r="J16" s="29">
        <f>SUM(D16:I16)</f>
        <v>402.27</v>
      </c>
      <c r="K16" s="8"/>
      <c r="L16" s="8"/>
    </row>
    <row r="17" spans="1:12">
      <c r="A17" s="8"/>
      <c r="B17" s="8"/>
      <c r="C17" s="8"/>
      <c r="D17" s="20"/>
      <c r="E17" s="20"/>
      <c r="F17" s="20"/>
      <c r="G17" s="20"/>
      <c r="H17" s="20"/>
      <c r="I17" s="20"/>
      <c r="J17" s="20"/>
      <c r="K17" s="8"/>
      <c r="L17" s="8"/>
    </row>
    <row r="18" spans="1:12" ht="15.75" thickBot="1">
      <c r="A18" s="8"/>
      <c r="B18" s="8"/>
      <c r="C18" s="8" t="s">
        <v>10</v>
      </c>
      <c r="D18" s="31">
        <f t="shared" ref="D18:I18" si="1">SUM(D15:D16)</f>
        <v>14584.62</v>
      </c>
      <c r="E18" s="31">
        <f t="shared" si="1"/>
        <v>140.28</v>
      </c>
      <c r="F18" s="31">
        <f t="shared" si="1"/>
        <v>55.97</v>
      </c>
      <c r="G18" s="31">
        <f t="shared" si="1"/>
        <v>0</v>
      </c>
      <c r="H18" s="31">
        <f t="shared" si="1"/>
        <v>0</v>
      </c>
      <c r="I18" s="31">
        <f t="shared" si="1"/>
        <v>0</v>
      </c>
      <c r="J18" s="31">
        <f>SUM(D18:I18)</f>
        <v>14780.87</v>
      </c>
      <c r="K18" s="8"/>
      <c r="L18" s="8"/>
    </row>
    <row r="19" spans="1:12" ht="15.75" thickTop="1">
      <c r="A19" s="8"/>
      <c r="B19" s="8"/>
      <c r="C19" s="8"/>
      <c r="D19" s="20"/>
      <c r="E19" s="20"/>
      <c r="F19" s="20"/>
      <c r="G19" s="20"/>
      <c r="H19" s="20"/>
      <c r="I19" s="20"/>
      <c r="J19" s="20"/>
      <c r="K19" s="8"/>
      <c r="L19" s="8"/>
    </row>
    <row r="20" spans="1:12">
      <c r="A20" s="8"/>
      <c r="B20" s="8"/>
      <c r="C20" s="8"/>
      <c r="D20" s="20"/>
      <c r="E20" s="20"/>
      <c r="F20" s="20"/>
      <c r="G20" s="20"/>
      <c r="H20" s="20"/>
      <c r="I20" s="20"/>
      <c r="J20" s="20"/>
      <c r="K20" s="8"/>
      <c r="L20" s="8"/>
    </row>
    <row r="21" spans="1:12" ht="15.75" thickBot="1">
      <c r="A21" s="8">
        <v>23</v>
      </c>
      <c r="B21" s="8" t="s">
        <v>16</v>
      </c>
      <c r="C21" s="8" t="s">
        <v>12</v>
      </c>
      <c r="D21" s="29">
        <v>10974.5</v>
      </c>
      <c r="E21" s="50">
        <v>132.79</v>
      </c>
      <c r="F21" s="29">
        <v>84.88</v>
      </c>
      <c r="G21" s="29">
        <v>0</v>
      </c>
      <c r="H21" s="29">
        <v>0</v>
      </c>
      <c r="I21" s="29">
        <v>0</v>
      </c>
      <c r="J21" s="29">
        <f>SUM(D21:I21)</f>
        <v>11192.17</v>
      </c>
      <c r="K21" s="8"/>
      <c r="L21" s="8"/>
    </row>
    <row r="22" spans="1:12" ht="15.75" hidden="1" thickBot="1">
      <c r="A22" s="8"/>
      <c r="B22" s="8"/>
      <c r="C22" s="8" t="s">
        <v>13</v>
      </c>
      <c r="D22" s="29"/>
      <c r="E22" s="29"/>
      <c r="F22" s="29"/>
      <c r="G22" s="29"/>
      <c r="H22" s="29"/>
      <c r="I22" s="29"/>
      <c r="J22" s="29">
        <f>SUM(D22:I22)</f>
        <v>0</v>
      </c>
      <c r="K22" s="8"/>
      <c r="L22" s="8"/>
    </row>
    <row r="23" spans="1:12">
      <c r="A23" s="8"/>
      <c r="B23" s="8"/>
      <c r="C23" s="8"/>
      <c r="D23" s="20"/>
      <c r="E23" s="20"/>
      <c r="F23" s="20"/>
      <c r="G23" s="20"/>
      <c r="H23" s="20"/>
      <c r="I23" s="20"/>
      <c r="J23" s="20"/>
      <c r="K23" s="8"/>
      <c r="L23" s="8"/>
    </row>
    <row r="24" spans="1:12" ht="15.75" thickBot="1">
      <c r="A24" s="8"/>
      <c r="B24" s="8"/>
      <c r="C24" s="8" t="s">
        <v>10</v>
      </c>
      <c r="D24" s="31">
        <f t="shared" ref="D24:I24" si="2">SUM(D21:D22)</f>
        <v>10974.5</v>
      </c>
      <c r="E24" s="31">
        <f t="shared" si="2"/>
        <v>132.79</v>
      </c>
      <c r="F24" s="31">
        <f t="shared" si="2"/>
        <v>84.88</v>
      </c>
      <c r="G24" s="31">
        <f t="shared" si="2"/>
        <v>0</v>
      </c>
      <c r="H24" s="31">
        <f t="shared" si="2"/>
        <v>0</v>
      </c>
      <c r="I24" s="31">
        <f t="shared" si="2"/>
        <v>0</v>
      </c>
      <c r="J24" s="31">
        <f>SUM(D24:I24)</f>
        <v>11192.17</v>
      </c>
      <c r="K24" s="8"/>
      <c r="L24" s="8"/>
    </row>
    <row r="25" spans="1:12" ht="15.75" thickTop="1">
      <c r="A25" s="8"/>
      <c r="B25" s="8"/>
      <c r="C25" s="8"/>
      <c r="D25" s="20"/>
      <c r="E25" s="20"/>
      <c r="F25" s="20"/>
      <c r="G25" s="20"/>
      <c r="H25" s="20"/>
      <c r="I25" s="20"/>
      <c r="J25" s="20"/>
      <c r="K25" s="8"/>
      <c r="L25" s="8"/>
    </row>
    <row r="26" spans="1:12">
      <c r="A26" s="8"/>
      <c r="B26" s="8"/>
      <c r="C26" s="8"/>
      <c r="D26" s="20"/>
      <c r="E26" s="20"/>
      <c r="F26" s="20"/>
      <c r="G26" s="20"/>
      <c r="H26" s="20"/>
      <c r="I26" s="20"/>
      <c r="J26" s="20"/>
      <c r="K26" s="8"/>
      <c r="L26" s="8"/>
    </row>
    <row r="27" spans="1:12">
      <c r="A27" s="8"/>
      <c r="B27" s="8"/>
      <c r="C27" s="8"/>
      <c r="D27" s="20"/>
      <c r="E27" s="20"/>
      <c r="F27" s="20"/>
      <c r="G27" s="20"/>
      <c r="H27" s="20"/>
      <c r="I27" s="20"/>
      <c r="J27" s="20"/>
      <c r="K27" s="8"/>
      <c r="L27" s="8"/>
    </row>
    <row r="28" spans="1:12" ht="15.75" thickBot="1">
      <c r="A28" s="8">
        <v>24</v>
      </c>
      <c r="B28" s="8" t="s">
        <v>17</v>
      </c>
      <c r="C28" s="8" t="s">
        <v>12</v>
      </c>
      <c r="D28" s="29">
        <v>8186.41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f>SUM(D28:I28)</f>
        <v>8186.41</v>
      </c>
      <c r="K28" s="8"/>
      <c r="L28" s="8"/>
    </row>
    <row r="29" spans="1:12">
      <c r="A29" s="8"/>
      <c r="B29" s="8"/>
      <c r="C29" s="8"/>
      <c r="D29" s="20"/>
      <c r="E29" s="20"/>
      <c r="F29" s="20"/>
      <c r="G29" s="20"/>
      <c r="H29" s="20"/>
      <c r="I29" s="20"/>
      <c r="J29" s="20"/>
      <c r="K29" s="8"/>
      <c r="L29" s="8"/>
    </row>
    <row r="30" spans="1:12" ht="15.75" thickBot="1">
      <c r="A30" s="8"/>
      <c r="B30" s="8"/>
      <c r="C30" s="8" t="s">
        <v>10</v>
      </c>
      <c r="D30" s="31">
        <f t="shared" ref="D30:I30" si="3">SUM(D28:D29)</f>
        <v>8186.41</v>
      </c>
      <c r="E30" s="31">
        <f t="shared" si="3"/>
        <v>0</v>
      </c>
      <c r="F30" s="31">
        <f t="shared" si="3"/>
        <v>0</v>
      </c>
      <c r="G30" s="31">
        <f t="shared" si="3"/>
        <v>0</v>
      </c>
      <c r="H30" s="31">
        <f t="shared" si="3"/>
        <v>0</v>
      </c>
      <c r="I30" s="31">
        <f t="shared" si="3"/>
        <v>0</v>
      </c>
      <c r="J30" s="31">
        <f>SUM(D30:I30)</f>
        <v>8186.41</v>
      </c>
      <c r="K30" s="8"/>
      <c r="L30" s="8"/>
    </row>
    <row r="31" spans="1:12" ht="15.75" thickTop="1">
      <c r="A31" s="8"/>
      <c r="B31" s="8"/>
      <c r="C31" s="8"/>
      <c r="D31" s="20"/>
      <c r="E31" s="20"/>
      <c r="F31" s="20"/>
      <c r="G31" s="20"/>
      <c r="H31" s="20"/>
      <c r="I31" s="20"/>
      <c r="J31" s="20"/>
      <c r="K31" s="8"/>
      <c r="L31" s="8"/>
    </row>
    <row r="32" spans="1:12">
      <c r="A32" s="8"/>
      <c r="B32" s="8"/>
      <c r="C32" s="8"/>
      <c r="D32" s="20"/>
      <c r="E32" s="20"/>
      <c r="F32" s="20"/>
      <c r="G32" s="20"/>
      <c r="H32" s="20"/>
      <c r="I32" s="20"/>
      <c r="J32" s="20"/>
      <c r="K32" s="8"/>
      <c r="L32" s="8"/>
    </row>
    <row r="33" spans="1:12">
      <c r="A33" s="8"/>
      <c r="B33" s="8"/>
      <c r="C33" s="8"/>
      <c r="D33" s="20"/>
      <c r="E33" s="20"/>
      <c r="F33" s="20"/>
      <c r="G33" s="20"/>
      <c r="H33" s="20"/>
      <c r="I33" s="20"/>
      <c r="J33" s="20"/>
      <c r="K33" s="8"/>
      <c r="L33" s="8"/>
    </row>
    <row r="34" spans="1:12" ht="15.75" thickBot="1">
      <c r="A34" s="8">
        <v>25</v>
      </c>
      <c r="B34" s="8" t="s">
        <v>18</v>
      </c>
      <c r="C34" s="8" t="s">
        <v>12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f>SUM(D34:I34)</f>
        <v>0</v>
      </c>
      <c r="K34" s="8"/>
      <c r="L34" s="8"/>
    </row>
    <row r="35" spans="1:12">
      <c r="A35" s="8"/>
      <c r="B35" s="8"/>
      <c r="C35" s="8"/>
      <c r="D35" s="20"/>
      <c r="E35" s="20"/>
      <c r="F35" s="20"/>
      <c r="G35" s="20"/>
      <c r="H35" s="20"/>
      <c r="I35" s="20"/>
      <c r="J35" s="20"/>
      <c r="K35" s="8"/>
      <c r="L35" s="8"/>
    </row>
    <row r="36" spans="1:12" ht="15.75" thickBot="1">
      <c r="A36" s="8"/>
      <c r="B36" s="8"/>
      <c r="C36" s="8" t="s">
        <v>10</v>
      </c>
      <c r="D36" s="31">
        <f t="shared" ref="D36:I36" si="4">SUM(D34:D35)</f>
        <v>0</v>
      </c>
      <c r="E36" s="31">
        <f t="shared" si="4"/>
        <v>0</v>
      </c>
      <c r="F36" s="31">
        <f t="shared" si="4"/>
        <v>0</v>
      </c>
      <c r="G36" s="31">
        <f t="shared" si="4"/>
        <v>0</v>
      </c>
      <c r="H36" s="31">
        <f t="shared" si="4"/>
        <v>0</v>
      </c>
      <c r="I36" s="31">
        <f t="shared" si="4"/>
        <v>0</v>
      </c>
      <c r="J36" s="31">
        <f>SUM(D36:I36)</f>
        <v>0</v>
      </c>
      <c r="K36" s="8"/>
      <c r="L36" s="8"/>
    </row>
    <row r="37" spans="1:12" ht="15.75" thickTop="1">
      <c r="A37" s="8"/>
      <c r="B37" s="8"/>
      <c r="C37" s="8"/>
      <c r="D37" s="20"/>
      <c r="E37" s="20"/>
      <c r="F37" s="20"/>
      <c r="G37" s="20"/>
      <c r="H37" s="20"/>
      <c r="I37" s="20"/>
      <c r="J37" s="20"/>
      <c r="K37" s="8"/>
      <c r="L37" s="8"/>
    </row>
    <row r="38" spans="1:12">
      <c r="A38" s="8"/>
      <c r="B38" s="8"/>
      <c r="C38" s="8"/>
      <c r="D38" s="20"/>
      <c r="E38" s="20"/>
      <c r="F38" s="20"/>
      <c r="G38" s="20"/>
      <c r="H38" s="20"/>
      <c r="I38" s="20"/>
      <c r="J38" s="20"/>
      <c r="K38" s="8"/>
      <c r="L38" s="8"/>
    </row>
    <row r="39" spans="1:12">
      <c r="A39" s="8"/>
      <c r="B39" s="8"/>
      <c r="C39" s="8"/>
      <c r="D39" s="20"/>
      <c r="E39" s="20"/>
      <c r="F39" s="20"/>
      <c r="G39" s="20"/>
      <c r="H39" s="20"/>
      <c r="I39" s="20"/>
      <c r="J39" s="20"/>
      <c r="K39" s="8"/>
      <c r="L39" s="8"/>
    </row>
    <row r="40" spans="1:12" ht="15.75" thickBot="1">
      <c r="A40" s="8">
        <v>26</v>
      </c>
      <c r="B40" s="8" t="s">
        <v>19</v>
      </c>
      <c r="C40" s="8" t="s">
        <v>12</v>
      </c>
      <c r="D40" s="29">
        <v>13270.24</v>
      </c>
      <c r="E40" s="29">
        <v>17.43</v>
      </c>
      <c r="F40" s="29">
        <v>0</v>
      </c>
      <c r="G40" s="29">
        <v>0</v>
      </c>
      <c r="H40" s="29">
        <v>0</v>
      </c>
      <c r="I40" s="29">
        <v>0</v>
      </c>
      <c r="J40" s="29">
        <f>SUM(D40:I40)</f>
        <v>13287.67</v>
      </c>
      <c r="K40" s="8"/>
      <c r="L40" s="8"/>
    </row>
    <row r="41" spans="1:12" ht="15.75" hidden="1" thickBot="1">
      <c r="A41" s="8"/>
      <c r="B41" s="8"/>
      <c r="C41" s="8" t="s">
        <v>13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f>SUM(D41:I41)</f>
        <v>0</v>
      </c>
      <c r="K41" s="8"/>
      <c r="L41" s="8"/>
    </row>
    <row r="42" spans="1:12">
      <c r="A42" s="8"/>
      <c r="B42" s="8"/>
      <c r="C42" s="8"/>
      <c r="D42" s="20"/>
      <c r="E42" s="20"/>
      <c r="F42" s="20"/>
      <c r="G42" s="20"/>
      <c r="H42" s="20"/>
      <c r="I42" s="20"/>
      <c r="J42" s="20"/>
      <c r="K42" s="8"/>
      <c r="L42" s="8"/>
    </row>
    <row r="43" spans="1:12" ht="15.75" thickBot="1">
      <c r="A43" s="8"/>
      <c r="B43" s="8"/>
      <c r="C43" s="8" t="s">
        <v>10</v>
      </c>
      <c r="D43" s="31">
        <f t="shared" ref="D43:I43" si="5">SUM(D40:D41)</f>
        <v>13270.24</v>
      </c>
      <c r="E43" s="31">
        <f t="shared" si="5"/>
        <v>17.43</v>
      </c>
      <c r="F43" s="31">
        <f t="shared" si="5"/>
        <v>0</v>
      </c>
      <c r="G43" s="31">
        <f t="shared" si="5"/>
        <v>0</v>
      </c>
      <c r="H43" s="31">
        <f t="shared" si="5"/>
        <v>0</v>
      </c>
      <c r="I43" s="31">
        <f t="shared" si="5"/>
        <v>0</v>
      </c>
      <c r="J43" s="31">
        <f>SUM(D43:I43)</f>
        <v>13287.67</v>
      </c>
      <c r="K43" s="8"/>
      <c r="L43" s="8"/>
    </row>
    <row r="44" spans="1:12" ht="15.75" thickTop="1">
      <c r="A44" s="8"/>
      <c r="B44" s="8"/>
      <c r="C44" s="8"/>
      <c r="D44" s="20"/>
      <c r="E44" s="20"/>
      <c r="F44" s="20"/>
      <c r="G44" s="20"/>
      <c r="H44" s="20"/>
      <c r="I44" s="20"/>
      <c r="J44" s="20"/>
      <c r="K44" s="8"/>
      <c r="L44" s="8"/>
    </row>
    <row r="45" spans="1:12">
      <c r="A45" s="8"/>
      <c r="B45" s="8"/>
      <c r="C45" s="8"/>
      <c r="D45" s="20"/>
      <c r="E45" s="20"/>
      <c r="F45" s="20"/>
      <c r="G45" s="20"/>
      <c r="H45" s="20"/>
      <c r="I45" s="20"/>
      <c r="J45" s="20"/>
      <c r="K45" s="8"/>
      <c r="L45" s="8"/>
    </row>
    <row r="46" spans="1:12" ht="15.75" thickBot="1">
      <c r="A46" s="8">
        <v>27</v>
      </c>
      <c r="B46" s="8" t="s">
        <v>20</v>
      </c>
      <c r="C46" s="8" t="s">
        <v>12</v>
      </c>
      <c r="D46" s="29">
        <v>15254.36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f>SUM(D46:I46)</f>
        <v>15254.36</v>
      </c>
      <c r="K46" s="8"/>
      <c r="L46" s="8"/>
    </row>
    <row r="47" spans="1:12">
      <c r="A47" s="8"/>
      <c r="B47" s="8"/>
      <c r="C47" s="8"/>
      <c r="D47" s="20"/>
      <c r="E47" s="20"/>
      <c r="F47" s="20"/>
      <c r="G47" s="20"/>
      <c r="H47" s="20"/>
      <c r="I47" s="20"/>
      <c r="J47" s="20"/>
      <c r="K47" s="8"/>
      <c r="L47" s="8"/>
    </row>
    <row r="48" spans="1:12" ht="15.75" thickBot="1">
      <c r="A48" s="8"/>
      <c r="B48" s="8"/>
      <c r="C48" s="8" t="s">
        <v>10</v>
      </c>
      <c r="D48" s="31">
        <f t="shared" ref="D48:I48" si="6">SUM(D46:D47)</f>
        <v>15254.36</v>
      </c>
      <c r="E48" s="31">
        <f t="shared" si="6"/>
        <v>0</v>
      </c>
      <c r="F48" s="31">
        <f t="shared" si="6"/>
        <v>0</v>
      </c>
      <c r="G48" s="31">
        <f t="shared" si="6"/>
        <v>0</v>
      </c>
      <c r="H48" s="31">
        <f t="shared" si="6"/>
        <v>0</v>
      </c>
      <c r="I48" s="31">
        <f t="shared" si="6"/>
        <v>0</v>
      </c>
      <c r="J48" s="31">
        <f>SUM(D48:I48)</f>
        <v>15254.36</v>
      </c>
      <c r="K48" s="8"/>
      <c r="L48" s="8"/>
    </row>
    <row r="49" spans="1:12" ht="15.75" thickTop="1">
      <c r="A49" s="8"/>
      <c r="B49" s="8"/>
      <c r="C49" s="8"/>
      <c r="D49" s="20"/>
      <c r="E49" s="20"/>
      <c r="F49" s="20"/>
      <c r="G49" s="20"/>
      <c r="H49" s="20"/>
      <c r="I49" s="20"/>
      <c r="J49" s="20"/>
      <c r="K49" s="8"/>
      <c r="L49" s="8"/>
    </row>
    <row r="50" spans="1:12">
      <c r="A50" s="8"/>
      <c r="B50" s="8"/>
      <c r="C50" s="8"/>
      <c r="D50" s="20"/>
      <c r="E50" s="20"/>
      <c r="F50" s="20"/>
      <c r="G50" s="20"/>
      <c r="H50" s="20"/>
      <c r="I50" s="20"/>
      <c r="J50" s="20"/>
      <c r="K50" s="8"/>
      <c r="L50" s="8"/>
    </row>
    <row r="51" spans="1:12">
      <c r="A51" s="8"/>
      <c r="B51" s="8"/>
      <c r="C51" s="8"/>
      <c r="D51" s="20"/>
      <c r="E51" s="20"/>
      <c r="F51" s="20"/>
      <c r="G51" s="20"/>
      <c r="H51" s="20"/>
      <c r="I51" s="20"/>
      <c r="J51" s="20"/>
      <c r="K51" s="8"/>
      <c r="L51" s="8"/>
    </row>
    <row r="52" spans="1:12">
      <c r="A52" s="8"/>
      <c r="B52" s="8"/>
      <c r="C52" s="8"/>
      <c r="D52" s="20"/>
      <c r="E52" s="20"/>
      <c r="F52" s="20"/>
      <c r="G52" s="20"/>
      <c r="H52" s="20"/>
      <c r="I52" s="20"/>
      <c r="J52" s="20"/>
      <c r="K52" s="8"/>
      <c r="L52" s="8"/>
    </row>
    <row r="53" spans="1:12" ht="15.75" thickBot="1">
      <c r="A53" s="8">
        <v>28</v>
      </c>
      <c r="B53" s="8" t="s">
        <v>21</v>
      </c>
      <c r="C53" s="8" t="s">
        <v>12</v>
      </c>
      <c r="D53" s="29">
        <v>13679.52</v>
      </c>
      <c r="E53" s="29">
        <v>786.63</v>
      </c>
      <c r="F53" s="29">
        <v>29.86</v>
      </c>
      <c r="G53" s="29">
        <v>0</v>
      </c>
      <c r="H53" s="29">
        <v>0</v>
      </c>
      <c r="I53" s="29">
        <v>0</v>
      </c>
      <c r="J53" s="29">
        <f>SUM(D53:I53)</f>
        <v>14496.01</v>
      </c>
      <c r="K53" s="8"/>
      <c r="L53" s="8"/>
    </row>
    <row r="54" spans="1:12" ht="15.75" hidden="1" thickBot="1">
      <c r="A54" s="8"/>
      <c r="B54" s="8"/>
      <c r="C54" s="8" t="s">
        <v>13</v>
      </c>
      <c r="D54" s="29"/>
      <c r="E54" s="29"/>
      <c r="F54" s="29"/>
      <c r="G54" s="29"/>
      <c r="H54" s="29"/>
      <c r="I54" s="29"/>
      <c r="J54" s="29">
        <f>SUM(D54:I54)</f>
        <v>0</v>
      </c>
      <c r="K54" s="8"/>
      <c r="L54" s="8"/>
    </row>
    <row r="55" spans="1:12">
      <c r="A55" s="8"/>
      <c r="B55" s="8"/>
      <c r="C55" s="8"/>
      <c r="D55" s="20"/>
      <c r="E55" s="20"/>
      <c r="F55" s="20"/>
      <c r="G55" s="20"/>
      <c r="H55" s="20"/>
      <c r="I55" s="20"/>
      <c r="J55" s="20"/>
      <c r="K55" s="8"/>
      <c r="L55" s="8"/>
    </row>
    <row r="56" spans="1:12" ht="15.75" thickBot="1">
      <c r="A56" s="8"/>
      <c r="B56" s="8"/>
      <c r="C56" s="8" t="s">
        <v>10</v>
      </c>
      <c r="D56" s="31">
        <f t="shared" ref="D56:I56" si="7">SUM(D53:D54)</f>
        <v>13679.52</v>
      </c>
      <c r="E56" s="31">
        <f t="shared" si="7"/>
        <v>786.63</v>
      </c>
      <c r="F56" s="31">
        <f t="shared" si="7"/>
        <v>29.86</v>
      </c>
      <c r="G56" s="31">
        <f t="shared" si="7"/>
        <v>0</v>
      </c>
      <c r="H56" s="31">
        <f t="shared" si="7"/>
        <v>0</v>
      </c>
      <c r="I56" s="31">
        <f t="shared" si="7"/>
        <v>0</v>
      </c>
      <c r="J56" s="31">
        <f>SUM(D56:I56)</f>
        <v>14496.01</v>
      </c>
      <c r="K56" s="8"/>
      <c r="L56" s="8"/>
    </row>
    <row r="57" spans="1:12" ht="15.75" thickTop="1">
      <c r="A57" s="8"/>
      <c r="B57" s="8"/>
      <c r="C57" s="8"/>
      <c r="D57" s="20"/>
      <c r="E57" s="20"/>
      <c r="F57" s="20"/>
      <c r="G57" s="20"/>
      <c r="H57" s="20"/>
      <c r="I57" s="20"/>
      <c r="J57" s="20"/>
      <c r="K57" s="8"/>
      <c r="L57" s="8"/>
    </row>
    <row r="58" spans="1:12">
      <c r="A58" s="8"/>
      <c r="B58" s="8"/>
      <c r="C58" s="8"/>
      <c r="D58" s="20"/>
      <c r="E58" s="20"/>
      <c r="F58" s="20"/>
      <c r="G58" s="20"/>
      <c r="H58" s="20"/>
      <c r="I58" s="20"/>
      <c r="J58" s="20"/>
      <c r="K58" s="8"/>
      <c r="L58" s="8"/>
    </row>
    <row r="59" spans="1:12">
      <c r="A59" s="8">
        <v>29</v>
      </c>
      <c r="B59" s="8" t="s">
        <v>22</v>
      </c>
      <c r="C59" s="8" t="s">
        <v>12</v>
      </c>
      <c r="D59" s="20">
        <v>13282.05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f>SUM(D59:I59)</f>
        <v>13282.05</v>
      </c>
      <c r="K59" s="8"/>
      <c r="L59" s="8"/>
    </row>
    <row r="60" spans="1:12" hidden="1">
      <c r="A60" s="8"/>
      <c r="B60" s="8"/>
      <c r="C60" s="8" t="s">
        <v>35</v>
      </c>
      <c r="D60" s="20"/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f>SUM(D60:I60)</f>
        <v>0</v>
      </c>
      <c r="K60" s="8"/>
      <c r="L60" s="8"/>
    </row>
    <row r="61" spans="1:12">
      <c r="A61" s="8"/>
      <c r="B61" s="8"/>
      <c r="C61" s="8" t="s">
        <v>13</v>
      </c>
      <c r="D61" s="20">
        <v>361.57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f>SUM(D61:I61)</f>
        <v>361.57</v>
      </c>
      <c r="K61" s="8"/>
      <c r="L61" s="8"/>
    </row>
    <row r="62" spans="1:12" hidden="1">
      <c r="A62" s="8"/>
      <c r="B62" s="8"/>
      <c r="C62" s="8" t="s">
        <v>78</v>
      </c>
      <c r="D62" s="20"/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f>SUM(D62:I62)</f>
        <v>0</v>
      </c>
      <c r="K62" s="8"/>
      <c r="L62" s="8"/>
    </row>
    <row r="63" spans="1:12" ht="15.75" thickBot="1">
      <c r="A63" s="8"/>
      <c r="B63" s="8"/>
      <c r="C63" s="38" t="s">
        <v>114</v>
      </c>
      <c r="D63" s="29">
        <v>5659.63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f>SUM(D63:I63)</f>
        <v>5659.63</v>
      </c>
      <c r="K63" s="8"/>
      <c r="L63" s="8"/>
    </row>
    <row r="64" spans="1:12">
      <c r="A64" s="8"/>
      <c r="B64" s="8"/>
      <c r="C64" s="8"/>
      <c r="D64" s="20"/>
      <c r="E64" s="20"/>
      <c r="F64" s="20"/>
      <c r="G64" s="20"/>
      <c r="H64" s="20"/>
      <c r="I64" s="20"/>
      <c r="J64" s="20"/>
      <c r="K64" s="8"/>
      <c r="L64" s="8"/>
    </row>
    <row r="65" spans="1:12" ht="15.75" thickBot="1">
      <c r="A65" s="8"/>
      <c r="B65" s="8"/>
      <c r="C65" s="8" t="s">
        <v>10</v>
      </c>
      <c r="D65" s="31">
        <f t="shared" ref="D65:I65" si="8">SUM(D59:D63)</f>
        <v>19303.25</v>
      </c>
      <c r="E65" s="31">
        <f t="shared" si="8"/>
        <v>0</v>
      </c>
      <c r="F65" s="31">
        <f t="shared" si="8"/>
        <v>0</v>
      </c>
      <c r="G65" s="31">
        <f t="shared" si="8"/>
        <v>0</v>
      </c>
      <c r="H65" s="31">
        <f t="shared" si="8"/>
        <v>0</v>
      </c>
      <c r="I65" s="31">
        <f t="shared" si="8"/>
        <v>0</v>
      </c>
      <c r="J65" s="31">
        <f>SUM(D65:I65)</f>
        <v>19303.25</v>
      </c>
      <c r="K65" s="8"/>
      <c r="L65" s="8"/>
    </row>
    <row r="66" spans="1:12" ht="15.75" thickTop="1">
      <c r="A66" s="8"/>
      <c r="B66" s="8"/>
      <c r="C66" s="8"/>
      <c r="D66" s="20"/>
      <c r="E66" s="20"/>
      <c r="F66" s="20"/>
      <c r="G66" s="20"/>
      <c r="H66" s="20"/>
      <c r="I66" s="20"/>
      <c r="J66" s="20"/>
      <c r="K66" s="8"/>
      <c r="L66" s="8"/>
    </row>
    <row r="67" spans="1:12">
      <c r="A67" s="8"/>
      <c r="B67" s="8"/>
      <c r="C67" s="8"/>
      <c r="D67" s="20"/>
      <c r="E67" s="20"/>
      <c r="F67" s="20"/>
      <c r="G67" s="20"/>
      <c r="H67" s="20"/>
      <c r="I67" s="20"/>
      <c r="J67" s="20"/>
      <c r="K67" s="8"/>
      <c r="L67" s="8"/>
    </row>
    <row r="68" spans="1:12">
      <c r="A68" s="8">
        <v>30</v>
      </c>
      <c r="B68" s="8" t="s">
        <v>23</v>
      </c>
      <c r="C68" s="8" t="s">
        <v>12</v>
      </c>
      <c r="D68" s="20">
        <v>8325.44</v>
      </c>
      <c r="E68" s="20">
        <v>282.94</v>
      </c>
      <c r="F68" s="20">
        <v>0</v>
      </c>
      <c r="G68" s="20">
        <v>0</v>
      </c>
      <c r="H68" s="20">
        <v>0</v>
      </c>
      <c r="I68" s="20">
        <v>0</v>
      </c>
      <c r="J68" s="20">
        <f>SUM(D68:I68)</f>
        <v>8608.380000000001</v>
      </c>
      <c r="K68" s="8"/>
      <c r="L68" s="8"/>
    </row>
    <row r="69" spans="1:12" ht="15.75" thickBot="1">
      <c r="A69" s="8"/>
      <c r="B69" s="8"/>
      <c r="C69" s="38" t="s">
        <v>116</v>
      </c>
      <c r="D69" s="29">
        <v>14148.18</v>
      </c>
      <c r="E69" s="29">
        <v>480.84</v>
      </c>
      <c r="F69" s="29">
        <v>0</v>
      </c>
      <c r="G69" s="29">
        <v>0</v>
      </c>
      <c r="H69" s="29">
        <v>0</v>
      </c>
      <c r="I69" s="29">
        <v>0</v>
      </c>
      <c r="J69" s="29">
        <f>SUM(D69:I69)</f>
        <v>14629.02</v>
      </c>
      <c r="K69" s="8"/>
      <c r="L69" s="8"/>
    </row>
    <row r="70" spans="1:12">
      <c r="A70" s="8"/>
      <c r="B70" s="8"/>
      <c r="C70" s="8"/>
      <c r="D70" s="20"/>
      <c r="E70" s="20"/>
      <c r="F70" s="20"/>
      <c r="G70" s="20"/>
      <c r="H70" s="20"/>
      <c r="I70" s="20"/>
      <c r="J70" s="20"/>
      <c r="K70" s="8"/>
      <c r="L70" s="8"/>
    </row>
    <row r="71" spans="1:12" ht="15.75" thickBot="1">
      <c r="A71" s="8"/>
      <c r="B71" s="8"/>
      <c r="C71" s="15" t="s">
        <v>10</v>
      </c>
      <c r="D71" s="31">
        <f t="shared" ref="D71:I71" si="9">SUM(D68:D69)</f>
        <v>22473.620000000003</v>
      </c>
      <c r="E71" s="31">
        <f t="shared" si="9"/>
        <v>763.78</v>
      </c>
      <c r="F71" s="31">
        <f t="shared" si="9"/>
        <v>0</v>
      </c>
      <c r="G71" s="31">
        <f t="shared" si="9"/>
        <v>0</v>
      </c>
      <c r="H71" s="31">
        <f t="shared" si="9"/>
        <v>0</v>
      </c>
      <c r="I71" s="31">
        <f t="shared" si="9"/>
        <v>0</v>
      </c>
      <c r="J71" s="31">
        <f>SUM(D71:I71)</f>
        <v>23237.4</v>
      </c>
      <c r="K71" s="8"/>
      <c r="L71" s="8"/>
    </row>
    <row r="72" spans="1:12" ht="15.75" thickTop="1">
      <c r="A72" s="8"/>
      <c r="B72" s="8"/>
      <c r="C72" s="8"/>
      <c r="D72" s="20"/>
      <c r="E72" s="20"/>
      <c r="F72" s="20"/>
      <c r="G72" s="20"/>
      <c r="H72" s="20"/>
      <c r="I72" s="20"/>
      <c r="J72" s="20"/>
      <c r="K72" s="8"/>
      <c r="L72" s="8"/>
    </row>
    <row r="73" spans="1:12">
      <c r="A73" s="8"/>
      <c r="B73" s="8"/>
      <c r="C73" s="8"/>
      <c r="D73" s="20"/>
      <c r="E73" s="20"/>
      <c r="F73" s="20"/>
      <c r="G73" s="20"/>
      <c r="H73" s="20"/>
      <c r="I73" s="20"/>
      <c r="J73" s="20"/>
      <c r="K73" s="8"/>
      <c r="L73" s="8"/>
    </row>
    <row r="74" spans="1:12">
      <c r="A74" s="8">
        <v>31</v>
      </c>
      <c r="B74" s="8" t="s">
        <v>24</v>
      </c>
      <c r="C74" s="8" t="s">
        <v>12</v>
      </c>
      <c r="D74" s="20">
        <v>3081.32</v>
      </c>
      <c r="E74" s="20">
        <v>53.88</v>
      </c>
      <c r="F74" s="20">
        <v>37.54</v>
      </c>
      <c r="G74" s="20">
        <v>0</v>
      </c>
      <c r="H74" s="20">
        <v>0</v>
      </c>
      <c r="I74" s="20">
        <v>0</v>
      </c>
      <c r="J74" s="20">
        <f>SUM(D74:I74)</f>
        <v>3172.7400000000002</v>
      </c>
      <c r="K74" s="8"/>
      <c r="L74" s="8"/>
    </row>
    <row r="75" spans="1:12" ht="15.75" thickBot="1">
      <c r="A75" s="8"/>
      <c r="B75" s="8"/>
      <c r="C75" s="8" t="s">
        <v>13</v>
      </c>
      <c r="D75" s="29">
        <v>241.48</v>
      </c>
      <c r="E75" s="29">
        <v>1.35</v>
      </c>
      <c r="F75" s="29">
        <v>0.95</v>
      </c>
      <c r="G75" s="29">
        <v>0</v>
      </c>
      <c r="H75" s="29">
        <v>0</v>
      </c>
      <c r="I75" s="29">
        <v>0</v>
      </c>
      <c r="J75" s="29">
        <f>SUM(D75:I75)</f>
        <v>243.77999999999997</v>
      </c>
      <c r="K75" s="8"/>
      <c r="L75" s="8"/>
    </row>
    <row r="76" spans="1:12">
      <c r="A76" s="8"/>
      <c r="B76" s="8"/>
      <c r="C76" s="8"/>
      <c r="D76" s="20"/>
      <c r="E76" s="20"/>
      <c r="F76" s="20"/>
      <c r="G76" s="20"/>
      <c r="H76" s="20"/>
      <c r="I76" s="20"/>
      <c r="J76" s="20"/>
      <c r="K76" s="8"/>
      <c r="L76" s="8"/>
    </row>
    <row r="77" spans="1:12" ht="15.75" thickBot="1">
      <c r="A77" s="8"/>
      <c r="B77" s="8"/>
      <c r="C77" s="8" t="s">
        <v>10</v>
      </c>
      <c r="D77" s="31">
        <f t="shared" ref="D77:I77" si="10">SUM(D74:D75)</f>
        <v>3322.8</v>
      </c>
      <c r="E77" s="31">
        <f t="shared" si="10"/>
        <v>55.230000000000004</v>
      </c>
      <c r="F77" s="31">
        <f t="shared" si="10"/>
        <v>38.49</v>
      </c>
      <c r="G77" s="31">
        <f t="shared" si="10"/>
        <v>0</v>
      </c>
      <c r="H77" s="31">
        <f t="shared" si="10"/>
        <v>0</v>
      </c>
      <c r="I77" s="31">
        <f t="shared" si="10"/>
        <v>0</v>
      </c>
      <c r="J77" s="31">
        <f>SUM(D77:I77)</f>
        <v>3416.52</v>
      </c>
      <c r="K77" s="8"/>
      <c r="L77" s="8"/>
    </row>
    <row r="78" spans="1:12" ht="15.75" thickTop="1">
      <c r="A78" s="8"/>
      <c r="B78" s="8"/>
      <c r="C78" s="8"/>
      <c r="D78" s="20"/>
      <c r="E78" s="20"/>
      <c r="F78" s="20"/>
      <c r="G78" s="20"/>
      <c r="H78" s="20"/>
      <c r="I78" s="20"/>
      <c r="J78" s="20"/>
      <c r="K78" s="8"/>
      <c r="L78" s="8"/>
    </row>
    <row r="79" spans="1:12">
      <c r="A79" s="8"/>
      <c r="B79" s="8"/>
      <c r="C79" s="8"/>
      <c r="D79" s="20"/>
      <c r="E79" s="20"/>
      <c r="F79" s="20"/>
      <c r="G79" s="20"/>
      <c r="H79" s="20"/>
      <c r="I79" s="20"/>
      <c r="J79" s="20"/>
      <c r="K79" s="8"/>
      <c r="L79" s="8"/>
    </row>
    <row r="80" spans="1:12">
      <c r="A80" s="8">
        <v>32</v>
      </c>
      <c r="B80" s="8" t="s">
        <v>25</v>
      </c>
      <c r="C80" s="8" t="s">
        <v>12</v>
      </c>
      <c r="D80" s="20">
        <v>18161.64</v>
      </c>
      <c r="E80" s="20">
        <v>238.62</v>
      </c>
      <c r="F80" s="20">
        <v>0</v>
      </c>
      <c r="G80" s="20">
        <v>0</v>
      </c>
      <c r="H80" s="20">
        <v>0</v>
      </c>
      <c r="I80" s="20">
        <v>0</v>
      </c>
      <c r="J80" s="20">
        <f>SUM(D80:I80)</f>
        <v>18400.259999999998</v>
      </c>
      <c r="K80" s="8"/>
      <c r="L80" s="8"/>
    </row>
    <row r="81" spans="1:12" ht="15.75" thickBot="1">
      <c r="A81" s="8"/>
      <c r="B81" s="8"/>
      <c r="C81" s="8" t="s">
        <v>13</v>
      </c>
      <c r="D81" s="29">
        <v>383.41</v>
      </c>
      <c r="E81" s="29">
        <v>5.7</v>
      </c>
      <c r="F81" s="29">
        <v>0</v>
      </c>
      <c r="G81" s="29">
        <v>0</v>
      </c>
      <c r="H81" s="29">
        <v>0</v>
      </c>
      <c r="I81" s="29">
        <v>0</v>
      </c>
      <c r="J81" s="29">
        <f>SUM(D81:I81)</f>
        <v>389.11</v>
      </c>
      <c r="K81" s="8"/>
      <c r="L81" s="8"/>
    </row>
    <row r="82" spans="1:12" hidden="1">
      <c r="A82" s="8"/>
      <c r="B82" s="8"/>
      <c r="C82" s="8" t="s">
        <v>73</v>
      </c>
      <c r="D82" s="20"/>
      <c r="E82" s="20"/>
      <c r="F82" s="20"/>
      <c r="G82" s="20"/>
      <c r="H82" s="20"/>
      <c r="I82" s="20"/>
      <c r="J82" s="20">
        <f>SUM(D82:I82)</f>
        <v>0</v>
      </c>
      <c r="K82" s="8"/>
      <c r="L82" s="8"/>
    </row>
    <row r="83" spans="1:12" ht="15.75" hidden="1" thickBot="1">
      <c r="A83" s="8"/>
      <c r="B83" s="8"/>
      <c r="C83" s="8" t="s">
        <v>78</v>
      </c>
      <c r="D83" s="29"/>
      <c r="E83" s="29"/>
      <c r="F83" s="29"/>
      <c r="G83" s="29"/>
      <c r="H83" s="29"/>
      <c r="I83" s="29"/>
      <c r="J83" s="29">
        <f>SUM(D83:I83)</f>
        <v>0</v>
      </c>
      <c r="K83" s="8"/>
      <c r="L83" s="8"/>
    </row>
    <row r="84" spans="1:12">
      <c r="A84" s="8"/>
      <c r="B84" s="8"/>
      <c r="C84" s="8"/>
      <c r="D84" s="20"/>
      <c r="E84" s="20"/>
      <c r="F84" s="20"/>
      <c r="G84" s="20"/>
      <c r="H84" s="20"/>
      <c r="I84" s="20"/>
      <c r="J84" s="20"/>
      <c r="K84" s="8"/>
      <c r="L84" s="8"/>
    </row>
    <row r="85" spans="1:12" ht="15.75" thickBot="1">
      <c r="A85" s="8"/>
      <c r="B85" s="8"/>
      <c r="C85" s="8" t="s">
        <v>10</v>
      </c>
      <c r="D85" s="31">
        <f t="shared" ref="D85:I85" si="11">SUM(D80:D83)</f>
        <v>18545.05</v>
      </c>
      <c r="E85" s="31">
        <f t="shared" si="11"/>
        <v>244.32</v>
      </c>
      <c r="F85" s="31">
        <f t="shared" si="11"/>
        <v>0</v>
      </c>
      <c r="G85" s="31">
        <f t="shared" si="11"/>
        <v>0</v>
      </c>
      <c r="H85" s="31">
        <f t="shared" si="11"/>
        <v>0</v>
      </c>
      <c r="I85" s="31">
        <f t="shared" si="11"/>
        <v>0</v>
      </c>
      <c r="J85" s="31">
        <f>SUM(D85:I85)</f>
        <v>18789.37</v>
      </c>
      <c r="K85" s="8"/>
      <c r="L85" s="8"/>
    </row>
    <row r="86" spans="1:12" ht="15.75" thickTop="1">
      <c r="A86" s="8"/>
      <c r="B86" s="8"/>
      <c r="C86" s="8"/>
      <c r="D86" s="20"/>
      <c r="E86" s="20"/>
      <c r="F86" s="20"/>
      <c r="G86" s="20"/>
      <c r="H86" s="20"/>
      <c r="I86" s="20"/>
      <c r="J86" s="20"/>
      <c r="K86" s="8"/>
      <c r="L86" s="8"/>
    </row>
    <row r="87" spans="1:12">
      <c r="A87" s="8"/>
      <c r="B87" s="8"/>
      <c r="C87" s="8"/>
      <c r="D87" s="20"/>
      <c r="E87" s="20"/>
      <c r="F87" s="20"/>
      <c r="G87" s="20"/>
      <c r="H87" s="20"/>
      <c r="I87" s="20"/>
      <c r="J87" s="20"/>
      <c r="K87" s="8"/>
      <c r="L87" s="8"/>
    </row>
    <row r="88" spans="1:12">
      <c r="A88" s="8">
        <v>33</v>
      </c>
      <c r="B88" s="8" t="s">
        <v>26</v>
      </c>
      <c r="C88" s="8" t="s">
        <v>12</v>
      </c>
      <c r="D88" s="20">
        <v>18357.3</v>
      </c>
      <c r="E88" s="20">
        <v>2.19</v>
      </c>
      <c r="F88" s="20">
        <v>0</v>
      </c>
      <c r="G88" s="20">
        <v>0</v>
      </c>
      <c r="H88" s="20">
        <v>0</v>
      </c>
      <c r="I88" s="20">
        <v>0</v>
      </c>
      <c r="J88" s="20">
        <f>SUM(D88:I88)</f>
        <v>18359.489999999998</v>
      </c>
      <c r="K88" s="8"/>
      <c r="L88" s="8"/>
    </row>
    <row r="89" spans="1:12" ht="15.75" thickBot="1">
      <c r="A89" s="8"/>
      <c r="B89" s="8"/>
      <c r="C89" s="8" t="s">
        <v>13</v>
      </c>
      <c r="D89" s="29">
        <v>308.22000000000003</v>
      </c>
      <c r="E89" s="29">
        <v>0.04</v>
      </c>
      <c r="F89" s="29">
        <v>0</v>
      </c>
      <c r="G89" s="29">
        <v>0</v>
      </c>
      <c r="H89" s="29">
        <v>0</v>
      </c>
      <c r="I89" s="29">
        <v>0</v>
      </c>
      <c r="J89" s="29">
        <f>SUM(D89:I89)</f>
        <v>308.26000000000005</v>
      </c>
      <c r="K89" s="8"/>
      <c r="L89" s="8"/>
    </row>
    <row r="90" spans="1:12">
      <c r="A90" s="8"/>
      <c r="B90" s="8"/>
      <c r="C90" s="8"/>
      <c r="D90" s="20"/>
      <c r="E90" s="20"/>
      <c r="F90" s="20"/>
      <c r="G90" s="20"/>
      <c r="H90" s="20"/>
      <c r="I90" s="20"/>
      <c r="J90" s="20"/>
      <c r="K90" s="8"/>
      <c r="L90" s="8"/>
    </row>
    <row r="91" spans="1:12" ht="15.75" thickBot="1">
      <c r="A91" s="8"/>
      <c r="B91" s="8"/>
      <c r="C91" s="8" t="s">
        <v>10</v>
      </c>
      <c r="D91" s="31">
        <f t="shared" ref="D91:I91" si="12">SUM(D88:D89)</f>
        <v>18665.52</v>
      </c>
      <c r="E91" s="31">
        <f t="shared" si="12"/>
        <v>2.23</v>
      </c>
      <c r="F91" s="31">
        <f t="shared" si="12"/>
        <v>0</v>
      </c>
      <c r="G91" s="31">
        <f t="shared" si="12"/>
        <v>0</v>
      </c>
      <c r="H91" s="31">
        <f t="shared" si="12"/>
        <v>0</v>
      </c>
      <c r="I91" s="31">
        <f t="shared" si="12"/>
        <v>0</v>
      </c>
      <c r="J91" s="31">
        <f>SUM(D91:I91)</f>
        <v>18667.75</v>
      </c>
      <c r="K91" s="8"/>
      <c r="L91" s="8"/>
    </row>
    <row r="92" spans="1:12" ht="15.75" thickTop="1">
      <c r="A92" s="8"/>
      <c r="B92" s="8"/>
      <c r="C92" s="8"/>
      <c r="D92" s="20"/>
      <c r="E92" s="20"/>
      <c r="F92" s="20"/>
      <c r="G92" s="20"/>
      <c r="H92" s="20"/>
      <c r="I92" s="20"/>
      <c r="J92" s="20"/>
      <c r="K92" s="8"/>
      <c r="L92" s="8"/>
    </row>
    <row r="93" spans="1:12">
      <c r="A93" s="8"/>
      <c r="B93" s="8"/>
      <c r="C93" s="8"/>
      <c r="D93" s="20"/>
      <c r="E93" s="20"/>
      <c r="F93" s="20"/>
      <c r="G93" s="20"/>
      <c r="H93" s="20"/>
      <c r="I93" s="20"/>
      <c r="J93" s="20"/>
      <c r="K93" s="8"/>
      <c r="L93" s="8"/>
    </row>
    <row r="94" spans="1:12">
      <c r="A94" s="8">
        <v>34</v>
      </c>
      <c r="B94" s="8" t="s">
        <v>27</v>
      </c>
      <c r="C94" s="8" t="s">
        <v>12</v>
      </c>
      <c r="D94" s="20">
        <v>13062.58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f>SUM(D94:I94)</f>
        <v>13062.58</v>
      </c>
      <c r="K94" s="8"/>
      <c r="L94" s="8"/>
    </row>
    <row r="95" spans="1:12" hidden="1">
      <c r="A95" s="8"/>
      <c r="B95" s="8"/>
      <c r="C95" s="8" t="s">
        <v>35</v>
      </c>
      <c r="D95" s="20"/>
      <c r="E95" s="20"/>
      <c r="F95" s="20"/>
      <c r="G95" s="20">
        <v>0</v>
      </c>
      <c r="H95" s="20">
        <v>0</v>
      </c>
      <c r="I95" s="20">
        <v>0</v>
      </c>
      <c r="J95" s="20">
        <f>SUM(D95:I95)</f>
        <v>0</v>
      </c>
      <c r="K95" s="8"/>
      <c r="L95" s="8"/>
    </row>
    <row r="96" spans="1:12" hidden="1">
      <c r="A96" s="8"/>
      <c r="B96" s="8"/>
      <c r="C96" s="8" t="s">
        <v>13</v>
      </c>
      <c r="D96" s="20"/>
      <c r="E96" s="20"/>
      <c r="F96" s="20"/>
      <c r="G96" s="20">
        <v>0</v>
      </c>
      <c r="H96" s="20">
        <v>0</v>
      </c>
      <c r="I96" s="20">
        <v>0</v>
      </c>
      <c r="J96" s="20">
        <f>SUM(D96:I96)</f>
        <v>0</v>
      </c>
      <c r="K96" s="8"/>
      <c r="L96" s="8"/>
    </row>
    <row r="97" spans="1:12" ht="15.75" thickBot="1">
      <c r="A97" s="8"/>
      <c r="B97" s="8"/>
      <c r="C97" s="8" t="s">
        <v>13</v>
      </c>
      <c r="D97" s="29">
        <v>322.14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f>SUM(D97:I97)</f>
        <v>322.14</v>
      </c>
      <c r="K97" s="8"/>
      <c r="L97" s="8"/>
    </row>
    <row r="98" spans="1:12">
      <c r="A98" s="8"/>
      <c r="B98" s="8"/>
      <c r="C98" s="8"/>
      <c r="D98" s="20"/>
      <c r="E98" s="20"/>
      <c r="F98" s="20"/>
      <c r="G98" s="20"/>
      <c r="H98" s="20"/>
      <c r="I98" s="20"/>
      <c r="J98" s="20"/>
      <c r="K98" s="8"/>
      <c r="L98" s="8"/>
    </row>
    <row r="99" spans="1:12" ht="15.75" thickBot="1">
      <c r="A99" s="8"/>
      <c r="B99" s="8"/>
      <c r="C99" s="8" t="s">
        <v>10</v>
      </c>
      <c r="D99" s="31">
        <f t="shared" ref="D99:I99" si="13">SUM(D94:D98)</f>
        <v>13384.72</v>
      </c>
      <c r="E99" s="31">
        <f t="shared" si="13"/>
        <v>0</v>
      </c>
      <c r="F99" s="31">
        <f t="shared" si="13"/>
        <v>0</v>
      </c>
      <c r="G99" s="31">
        <f t="shared" si="13"/>
        <v>0</v>
      </c>
      <c r="H99" s="31">
        <f t="shared" si="13"/>
        <v>0</v>
      </c>
      <c r="I99" s="31">
        <f t="shared" si="13"/>
        <v>0</v>
      </c>
      <c r="J99" s="31">
        <f>SUM(D99:I99)</f>
        <v>13384.72</v>
      </c>
      <c r="K99" s="8"/>
      <c r="L99" s="8"/>
    </row>
    <row r="100" spans="1:12" ht="15.75" thickTop="1">
      <c r="A100" s="8"/>
      <c r="B100" s="8"/>
      <c r="C100" s="8"/>
      <c r="D100" s="20"/>
      <c r="E100" s="20"/>
      <c r="F100" s="20"/>
      <c r="G100" s="20"/>
      <c r="H100" s="20"/>
      <c r="I100" s="20"/>
      <c r="J100" s="20"/>
      <c r="K100" s="8"/>
      <c r="L100" s="8"/>
    </row>
    <row r="101" spans="1:12">
      <c r="A101" s="8"/>
      <c r="B101" s="8"/>
      <c r="C101" s="8"/>
      <c r="D101" s="20"/>
      <c r="E101" s="20"/>
      <c r="F101" s="20"/>
      <c r="G101" s="20"/>
      <c r="H101" s="20"/>
      <c r="I101" s="20"/>
      <c r="J101" s="20"/>
      <c r="K101" s="8"/>
      <c r="L101" s="8"/>
    </row>
    <row r="102" spans="1:12">
      <c r="A102" s="8">
        <v>35</v>
      </c>
      <c r="B102" s="8" t="s">
        <v>28</v>
      </c>
      <c r="C102" s="8" t="s">
        <v>12</v>
      </c>
      <c r="D102" s="20">
        <v>11238.39</v>
      </c>
      <c r="E102" s="20">
        <v>40.090000000000003</v>
      </c>
      <c r="F102" s="20">
        <v>0</v>
      </c>
      <c r="G102" s="20">
        <v>0</v>
      </c>
      <c r="H102" s="20">
        <v>0</v>
      </c>
      <c r="I102" s="20">
        <v>0</v>
      </c>
      <c r="J102" s="20">
        <f>SUM(D102:I102)</f>
        <v>11278.48</v>
      </c>
      <c r="K102" s="8"/>
      <c r="L102" s="8"/>
    </row>
    <row r="103" spans="1:12" ht="15.75" thickBot="1">
      <c r="A103" s="8"/>
      <c r="B103" s="8"/>
      <c r="C103" s="38" t="s">
        <v>116</v>
      </c>
      <c r="D103" s="29">
        <v>6504.06</v>
      </c>
      <c r="E103" s="29">
        <v>23.23</v>
      </c>
      <c r="F103" s="29">
        <v>0</v>
      </c>
      <c r="G103" s="29"/>
      <c r="H103" s="29"/>
      <c r="I103" s="29"/>
      <c r="J103" s="29">
        <f>SUM(D103:I103)</f>
        <v>6527.29</v>
      </c>
      <c r="K103" s="8"/>
      <c r="L103" s="8"/>
    </row>
    <row r="104" spans="1:12">
      <c r="A104" s="8"/>
      <c r="B104" s="8"/>
      <c r="C104" s="8"/>
      <c r="D104" s="20"/>
      <c r="E104" s="20"/>
      <c r="F104" s="20"/>
      <c r="G104" s="20"/>
      <c r="H104" s="20"/>
      <c r="I104" s="20"/>
      <c r="J104" s="20"/>
      <c r="K104" s="8"/>
      <c r="L104" s="8"/>
    </row>
    <row r="105" spans="1:12" ht="15.75" thickBot="1">
      <c r="A105" s="8"/>
      <c r="B105" s="8"/>
      <c r="C105" s="8" t="s">
        <v>10</v>
      </c>
      <c r="D105" s="31">
        <f t="shared" ref="D105:I105" si="14">SUM(D102:D104)</f>
        <v>17742.45</v>
      </c>
      <c r="E105" s="31">
        <f t="shared" si="14"/>
        <v>63.320000000000007</v>
      </c>
      <c r="F105" s="31">
        <f t="shared" si="14"/>
        <v>0</v>
      </c>
      <c r="G105" s="31">
        <f t="shared" si="14"/>
        <v>0</v>
      </c>
      <c r="H105" s="31">
        <f t="shared" si="14"/>
        <v>0</v>
      </c>
      <c r="I105" s="31">
        <f t="shared" si="14"/>
        <v>0</v>
      </c>
      <c r="J105" s="31">
        <f>SUM(D105:I105)</f>
        <v>17805.77</v>
      </c>
      <c r="K105" s="8"/>
      <c r="L105" s="8"/>
    </row>
    <row r="106" spans="1:12" ht="15.75" thickTop="1">
      <c r="A106" s="8"/>
      <c r="B106" s="8"/>
      <c r="C106" s="8"/>
      <c r="D106" s="20"/>
      <c r="E106" s="20"/>
      <c r="F106" s="20"/>
      <c r="G106" s="20"/>
      <c r="H106" s="20"/>
      <c r="I106" s="20"/>
      <c r="J106" s="20"/>
      <c r="K106" s="8"/>
      <c r="L106" s="8"/>
    </row>
    <row r="107" spans="1:12">
      <c r="A107" s="8"/>
      <c r="B107" s="8"/>
      <c r="C107" s="8"/>
      <c r="D107" s="20"/>
      <c r="E107" s="20"/>
      <c r="F107" s="20"/>
      <c r="G107" s="20"/>
      <c r="H107" s="20"/>
      <c r="I107" s="20"/>
      <c r="J107" s="20"/>
      <c r="K107" s="8"/>
      <c r="L107" s="8"/>
    </row>
    <row r="108" spans="1:12">
      <c r="A108" s="8">
        <v>36</v>
      </c>
      <c r="B108" s="8" t="s">
        <v>29</v>
      </c>
      <c r="C108" s="8" t="s">
        <v>12</v>
      </c>
      <c r="D108" s="20">
        <v>18741.11</v>
      </c>
      <c r="E108" s="20">
        <v>613.45000000000005</v>
      </c>
      <c r="F108" s="20">
        <v>146.38999999999999</v>
      </c>
      <c r="G108" s="20">
        <v>0</v>
      </c>
      <c r="H108" s="20">
        <v>0</v>
      </c>
      <c r="I108" s="20">
        <v>0</v>
      </c>
      <c r="J108" s="20">
        <f>SUM(D108:I108)</f>
        <v>19500.95</v>
      </c>
      <c r="K108" s="8"/>
      <c r="L108" s="8"/>
    </row>
    <row r="109" spans="1:12" hidden="1">
      <c r="A109" s="8"/>
      <c r="B109" s="8"/>
      <c r="C109" s="38" t="s">
        <v>13</v>
      </c>
      <c r="D109" s="20"/>
      <c r="E109" s="20"/>
      <c r="F109" s="20"/>
      <c r="G109" s="20">
        <v>0</v>
      </c>
      <c r="H109" s="20">
        <v>0</v>
      </c>
      <c r="I109" s="20">
        <v>0</v>
      </c>
      <c r="J109" s="20">
        <f>SUM(D109:I109)</f>
        <v>0</v>
      </c>
      <c r="K109" s="8"/>
      <c r="L109" s="8"/>
    </row>
    <row r="110" spans="1:12" ht="15.75" thickBot="1">
      <c r="A110" s="8"/>
      <c r="B110" s="8"/>
      <c r="C110" s="38" t="s">
        <v>13</v>
      </c>
      <c r="D110" s="29">
        <v>283.7</v>
      </c>
      <c r="E110" s="29">
        <v>8.34</v>
      </c>
      <c r="F110" s="29">
        <v>1.91</v>
      </c>
      <c r="G110" s="29">
        <v>0</v>
      </c>
      <c r="H110" s="29">
        <v>0</v>
      </c>
      <c r="I110" s="29">
        <v>0</v>
      </c>
      <c r="J110" s="29">
        <f>SUM(D110:I110)</f>
        <v>293.95</v>
      </c>
      <c r="K110" s="8"/>
      <c r="L110" s="8"/>
    </row>
    <row r="111" spans="1:12">
      <c r="A111" s="8"/>
      <c r="B111" s="8"/>
      <c r="C111" s="8"/>
      <c r="D111" s="20"/>
      <c r="E111" s="20"/>
      <c r="F111" s="20"/>
      <c r="G111" s="20"/>
      <c r="H111" s="20"/>
      <c r="I111" s="20"/>
      <c r="J111" s="20"/>
      <c r="K111" s="8"/>
      <c r="L111" s="8"/>
    </row>
    <row r="112" spans="1:12" ht="15.75" thickBot="1">
      <c r="A112" s="8"/>
      <c r="B112" s="8"/>
      <c r="C112" s="8" t="s">
        <v>10</v>
      </c>
      <c r="D112" s="31">
        <f t="shared" ref="D112:I112" si="15">SUM(D108:D110)</f>
        <v>19024.810000000001</v>
      </c>
      <c r="E112" s="31">
        <f t="shared" si="15"/>
        <v>621.79000000000008</v>
      </c>
      <c r="F112" s="31">
        <f t="shared" si="15"/>
        <v>148.29999999999998</v>
      </c>
      <c r="G112" s="31">
        <f t="shared" si="15"/>
        <v>0</v>
      </c>
      <c r="H112" s="31">
        <f t="shared" si="15"/>
        <v>0</v>
      </c>
      <c r="I112" s="31">
        <f t="shared" si="15"/>
        <v>0</v>
      </c>
      <c r="J112" s="31">
        <f>SUM(D112:I112)</f>
        <v>19794.900000000001</v>
      </c>
      <c r="K112" s="8"/>
      <c r="L112" s="8"/>
    </row>
    <row r="113" spans="1:12" ht="15.75" thickTop="1">
      <c r="A113" s="8"/>
      <c r="B113" s="8"/>
      <c r="C113" s="8"/>
      <c r="D113" s="20"/>
      <c r="E113" s="20"/>
      <c r="F113" s="20"/>
      <c r="G113" s="20"/>
      <c r="H113" s="20"/>
      <c r="I113" s="20"/>
      <c r="J113" s="20"/>
      <c r="K113" s="8"/>
      <c r="L113" s="8"/>
    </row>
    <row r="114" spans="1:12">
      <c r="A114" s="8"/>
      <c r="B114" s="8"/>
      <c r="C114" s="8"/>
      <c r="D114" s="20"/>
      <c r="E114" s="20"/>
      <c r="F114" s="20"/>
      <c r="G114" s="20"/>
      <c r="H114" s="20"/>
      <c r="I114" s="20"/>
      <c r="J114" s="20"/>
      <c r="K114" s="8"/>
      <c r="L114" s="8"/>
    </row>
    <row r="115" spans="1:12" ht="15.75" thickBot="1">
      <c r="A115" s="8">
        <v>37</v>
      </c>
      <c r="B115" s="8" t="s">
        <v>30</v>
      </c>
      <c r="C115" s="8" t="s">
        <v>12</v>
      </c>
      <c r="D115" s="29">
        <v>23370.880000000001</v>
      </c>
      <c r="E115" s="29">
        <v>734.35</v>
      </c>
      <c r="F115" s="29">
        <v>0</v>
      </c>
      <c r="G115" s="29">
        <v>0</v>
      </c>
      <c r="H115" s="29">
        <v>0</v>
      </c>
      <c r="I115" s="29">
        <v>0</v>
      </c>
      <c r="J115" s="29">
        <f>SUM(D115:I115)</f>
        <v>24105.23</v>
      </c>
      <c r="K115" s="8"/>
      <c r="L115" s="8"/>
    </row>
    <row r="116" spans="1:12">
      <c r="A116" s="8"/>
      <c r="B116" s="8"/>
      <c r="C116" s="8"/>
      <c r="D116" s="20"/>
      <c r="E116" s="20"/>
      <c r="F116" s="20"/>
      <c r="G116" s="20"/>
      <c r="H116" s="20"/>
      <c r="I116" s="20"/>
      <c r="J116" s="20"/>
      <c r="K116" s="8"/>
      <c r="L116" s="8"/>
    </row>
    <row r="117" spans="1:12" ht="15.75" thickBot="1">
      <c r="A117" s="8"/>
      <c r="B117" s="8"/>
      <c r="C117" s="8" t="s">
        <v>10</v>
      </c>
      <c r="D117" s="31">
        <f t="shared" ref="D117:I117" si="16">SUM(D115:D116)</f>
        <v>23370.880000000001</v>
      </c>
      <c r="E117" s="31">
        <f t="shared" si="16"/>
        <v>734.35</v>
      </c>
      <c r="F117" s="31">
        <f t="shared" si="16"/>
        <v>0</v>
      </c>
      <c r="G117" s="31">
        <f t="shared" si="16"/>
        <v>0</v>
      </c>
      <c r="H117" s="31">
        <f t="shared" si="16"/>
        <v>0</v>
      </c>
      <c r="I117" s="31">
        <f t="shared" si="16"/>
        <v>0</v>
      </c>
      <c r="J117" s="31">
        <f>SUM(D117:I117)</f>
        <v>24105.23</v>
      </c>
      <c r="K117" s="8"/>
      <c r="L117" s="8"/>
    </row>
    <row r="118" spans="1:12" ht="15.75" thickTop="1">
      <c r="A118" s="8"/>
      <c r="B118" s="8"/>
      <c r="C118" s="8"/>
      <c r="D118" s="20"/>
      <c r="E118" s="20"/>
      <c r="F118" s="20"/>
      <c r="G118" s="20"/>
      <c r="H118" s="20"/>
      <c r="I118" s="20"/>
      <c r="J118" s="20"/>
      <c r="K118" s="8"/>
      <c r="L118" s="8"/>
    </row>
    <row r="119" spans="1:12">
      <c r="A119" s="8"/>
      <c r="B119" s="8"/>
      <c r="C119" s="8"/>
      <c r="D119" s="20"/>
      <c r="E119" s="20"/>
      <c r="F119" s="20"/>
      <c r="G119" s="20"/>
      <c r="H119" s="20"/>
      <c r="I119" s="20"/>
      <c r="J119" s="20"/>
      <c r="K119" s="8"/>
      <c r="L119" s="8"/>
    </row>
    <row r="120" spans="1:12">
      <c r="A120" s="8">
        <v>38</v>
      </c>
      <c r="B120" s="8" t="s">
        <v>31</v>
      </c>
      <c r="C120" s="8" t="s">
        <v>12</v>
      </c>
      <c r="D120" s="20">
        <v>11456.91</v>
      </c>
      <c r="E120" s="20"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f>SUM(D120:I120)</f>
        <v>11456.91</v>
      </c>
      <c r="K120" s="8"/>
      <c r="L120" s="8"/>
    </row>
    <row r="121" spans="1:12" hidden="1">
      <c r="A121" s="8"/>
      <c r="B121" s="8"/>
      <c r="C121" s="8" t="s">
        <v>35</v>
      </c>
      <c r="D121" s="20"/>
      <c r="E121" s="20"/>
      <c r="F121" s="20">
        <v>0</v>
      </c>
      <c r="G121" s="20">
        <v>0</v>
      </c>
      <c r="H121" s="20">
        <v>0</v>
      </c>
      <c r="I121" s="20">
        <v>0</v>
      </c>
      <c r="J121" s="20">
        <f>SUM(D121:I121)</f>
        <v>0</v>
      </c>
      <c r="K121" s="8"/>
      <c r="L121" s="8"/>
    </row>
    <row r="122" spans="1:12" ht="15.75" thickBot="1">
      <c r="A122" s="8"/>
      <c r="B122" s="8"/>
      <c r="C122" s="8" t="s">
        <v>13</v>
      </c>
      <c r="D122" s="29">
        <v>318.24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f>SUM(D122:I122)</f>
        <v>318.24</v>
      </c>
      <c r="K122" s="8"/>
      <c r="L122" s="8"/>
    </row>
    <row r="123" spans="1:12" ht="15.75" hidden="1" thickBot="1">
      <c r="A123" s="8"/>
      <c r="B123" s="8"/>
      <c r="C123" s="8" t="s">
        <v>78</v>
      </c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f>SUM(D123:I123)</f>
        <v>0</v>
      </c>
      <c r="K123" s="8"/>
      <c r="L123" s="8"/>
    </row>
    <row r="124" spans="1:12">
      <c r="A124" s="8"/>
      <c r="B124" s="8"/>
      <c r="C124" s="8"/>
      <c r="D124" s="20"/>
      <c r="E124" s="20"/>
      <c r="F124" s="20"/>
      <c r="G124" s="20"/>
      <c r="H124" s="20"/>
      <c r="I124" s="20"/>
      <c r="J124" s="20"/>
      <c r="K124" s="8"/>
      <c r="L124" s="8"/>
    </row>
    <row r="125" spans="1:12" ht="15.75" thickBot="1">
      <c r="A125" s="8"/>
      <c r="B125" s="8"/>
      <c r="C125" s="8" t="s">
        <v>10</v>
      </c>
      <c r="D125" s="31">
        <f t="shared" ref="D125:I125" si="17">SUM(D120:D123)</f>
        <v>11775.15</v>
      </c>
      <c r="E125" s="31">
        <f t="shared" si="17"/>
        <v>0</v>
      </c>
      <c r="F125" s="31">
        <f t="shared" si="17"/>
        <v>0</v>
      </c>
      <c r="G125" s="31">
        <f t="shared" si="17"/>
        <v>0</v>
      </c>
      <c r="H125" s="31">
        <f t="shared" si="17"/>
        <v>0</v>
      </c>
      <c r="I125" s="31">
        <f t="shared" si="17"/>
        <v>0</v>
      </c>
      <c r="J125" s="31">
        <f>SUM(D125:I125)</f>
        <v>11775.15</v>
      </c>
      <c r="K125" s="8"/>
      <c r="L125" s="8"/>
    </row>
    <row r="126" spans="1:12" ht="15.75" thickTop="1">
      <c r="A126" s="8"/>
      <c r="B126" s="8"/>
      <c r="C126" s="8"/>
      <c r="D126" s="20"/>
      <c r="E126" s="20"/>
      <c r="F126" s="20"/>
      <c r="G126" s="20"/>
      <c r="H126" s="20"/>
      <c r="I126" s="20"/>
      <c r="J126" s="20"/>
      <c r="K126" s="8"/>
      <c r="L126" s="8"/>
    </row>
    <row r="127" spans="1:12">
      <c r="A127" s="8"/>
      <c r="B127" s="8"/>
      <c r="C127" s="8"/>
      <c r="D127" s="20"/>
      <c r="E127" s="20"/>
      <c r="F127" s="20"/>
      <c r="G127" s="20"/>
      <c r="H127" s="20"/>
      <c r="I127" s="20"/>
      <c r="J127" s="20"/>
      <c r="K127" s="8"/>
      <c r="L127" s="8"/>
    </row>
    <row r="128" spans="1:12" ht="15.75" thickBot="1">
      <c r="A128" s="8">
        <v>39</v>
      </c>
      <c r="B128" s="8" t="s">
        <v>32</v>
      </c>
      <c r="C128" s="8" t="s">
        <v>12</v>
      </c>
      <c r="D128" s="29">
        <v>0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f>SUM(D128:I128)</f>
        <v>0</v>
      </c>
      <c r="K128" s="8"/>
      <c r="L128" s="8"/>
    </row>
    <row r="129" spans="1:12">
      <c r="A129" s="8"/>
      <c r="B129" s="8"/>
      <c r="C129" s="8"/>
      <c r="D129" s="20"/>
      <c r="E129" s="20"/>
      <c r="F129" s="20"/>
      <c r="G129" s="20"/>
      <c r="H129" s="20"/>
      <c r="I129" s="20"/>
      <c r="J129" s="20"/>
      <c r="K129" s="8"/>
      <c r="L129" s="8"/>
    </row>
    <row r="130" spans="1:12" ht="15.75" thickBot="1">
      <c r="A130" s="8"/>
      <c r="B130" s="8"/>
      <c r="C130" s="8" t="s">
        <v>10</v>
      </c>
      <c r="D130" s="31">
        <f>D128</f>
        <v>0</v>
      </c>
      <c r="E130" s="31">
        <f t="shared" ref="E130:J130" si="18">E128</f>
        <v>0</v>
      </c>
      <c r="F130" s="31">
        <f t="shared" si="18"/>
        <v>0</v>
      </c>
      <c r="G130" s="31">
        <f t="shared" si="18"/>
        <v>0</v>
      </c>
      <c r="H130" s="31">
        <f t="shared" si="18"/>
        <v>0</v>
      </c>
      <c r="I130" s="31">
        <f t="shared" si="18"/>
        <v>0</v>
      </c>
      <c r="J130" s="31">
        <f t="shared" si="18"/>
        <v>0</v>
      </c>
      <c r="K130" s="8"/>
      <c r="L130" s="8"/>
    </row>
    <row r="131" spans="1:12" ht="15.75" thickTop="1">
      <c r="A131" s="8"/>
      <c r="B131" s="8"/>
      <c r="C131" s="8"/>
      <c r="D131" s="20"/>
      <c r="E131" s="20"/>
      <c r="F131" s="20"/>
      <c r="G131" s="20"/>
      <c r="H131" s="20"/>
      <c r="I131" s="20"/>
      <c r="J131" s="20"/>
      <c r="K131" s="8"/>
      <c r="L131" s="8"/>
    </row>
    <row r="132" spans="1:12">
      <c r="A132" s="8"/>
      <c r="B132" s="8"/>
      <c r="C132" s="8"/>
      <c r="D132" s="20"/>
      <c r="E132" s="20"/>
      <c r="F132" s="20"/>
      <c r="G132" s="20"/>
      <c r="H132" s="20"/>
      <c r="I132" s="20"/>
      <c r="J132" s="20"/>
      <c r="K132" s="8"/>
      <c r="L132" s="8"/>
    </row>
    <row r="133" spans="1:12" ht="15.75" thickBot="1">
      <c r="A133" s="8">
        <v>40</v>
      </c>
      <c r="B133" s="8" t="s">
        <v>33</v>
      </c>
      <c r="C133" s="8" t="s">
        <v>12</v>
      </c>
      <c r="D133" s="29">
        <v>16612.330000000002</v>
      </c>
      <c r="E133" s="29">
        <v>84.74</v>
      </c>
      <c r="F133" s="29">
        <v>0</v>
      </c>
      <c r="G133" s="29">
        <v>0</v>
      </c>
      <c r="H133" s="29">
        <v>0</v>
      </c>
      <c r="I133" s="29">
        <v>0</v>
      </c>
      <c r="J133" s="29">
        <f>SUM(D133:I133)</f>
        <v>16697.070000000003</v>
      </c>
      <c r="K133" s="8"/>
      <c r="L133" s="8"/>
    </row>
    <row r="134" spans="1:12">
      <c r="A134" s="8"/>
      <c r="B134" s="8"/>
      <c r="C134" s="8"/>
      <c r="D134" s="20"/>
      <c r="E134" s="20"/>
      <c r="F134" s="20"/>
      <c r="G134" s="20"/>
      <c r="H134" s="20"/>
      <c r="I134" s="20"/>
      <c r="J134" s="20"/>
      <c r="K134" s="8"/>
      <c r="L134" s="8"/>
    </row>
    <row r="135" spans="1:12" ht="15.75" thickBot="1">
      <c r="A135" s="8"/>
      <c r="B135" s="8"/>
      <c r="C135" s="8" t="s">
        <v>10</v>
      </c>
      <c r="D135" s="31">
        <f t="shared" ref="D135:I135" si="19">SUM(D133:D134)</f>
        <v>16612.330000000002</v>
      </c>
      <c r="E135" s="31">
        <f t="shared" si="19"/>
        <v>84.74</v>
      </c>
      <c r="F135" s="31">
        <f t="shared" si="19"/>
        <v>0</v>
      </c>
      <c r="G135" s="31">
        <f t="shared" si="19"/>
        <v>0</v>
      </c>
      <c r="H135" s="31">
        <f t="shared" si="19"/>
        <v>0</v>
      </c>
      <c r="I135" s="31">
        <f t="shared" si="19"/>
        <v>0</v>
      </c>
      <c r="J135" s="31">
        <f>SUM(D135:I135)</f>
        <v>16697.070000000003</v>
      </c>
      <c r="K135" s="8"/>
      <c r="L135" s="8"/>
    </row>
    <row r="136" spans="1:12" ht="15.75" thickTop="1">
      <c r="A136" s="8"/>
      <c r="B136" s="8"/>
      <c r="C136" s="8"/>
      <c r="D136" s="20"/>
      <c r="E136" s="20"/>
      <c r="F136" s="20"/>
      <c r="G136" s="20"/>
      <c r="H136" s="20"/>
      <c r="I136" s="20"/>
      <c r="J136" s="20"/>
      <c r="K136" s="8"/>
      <c r="L136" s="8"/>
    </row>
    <row r="137" spans="1:12">
      <c r="A137" s="8"/>
      <c r="B137" s="8"/>
      <c r="C137" s="8"/>
      <c r="D137" s="20"/>
      <c r="E137" s="20"/>
      <c r="F137" s="20"/>
      <c r="G137" s="20"/>
      <c r="H137" s="20"/>
      <c r="I137" s="20"/>
      <c r="J137" s="20"/>
      <c r="K137" s="8"/>
      <c r="L137" s="8"/>
    </row>
    <row r="138" spans="1:12" ht="15.75" thickBot="1">
      <c r="A138" s="8">
        <v>41</v>
      </c>
      <c r="B138" s="8" t="s">
        <v>34</v>
      </c>
      <c r="C138" s="8" t="s">
        <v>12</v>
      </c>
      <c r="D138" s="29">
        <v>14503.48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29">
        <f>SUM(D138:I138)</f>
        <v>14503.48</v>
      </c>
      <c r="K138" s="8"/>
      <c r="L138" s="8"/>
    </row>
    <row r="139" spans="1:12" hidden="1">
      <c r="A139" s="8"/>
      <c r="B139" s="8"/>
      <c r="C139" s="38" t="s">
        <v>35</v>
      </c>
      <c r="D139" s="20">
        <v>0</v>
      </c>
      <c r="E139" s="20"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f>SUM(D139:I139)</f>
        <v>0</v>
      </c>
      <c r="K139" s="8"/>
      <c r="L139" s="8"/>
    </row>
    <row r="140" spans="1:12" ht="15.75" hidden="1" thickBot="1">
      <c r="A140" s="8"/>
      <c r="B140" s="8"/>
      <c r="C140" s="38" t="s">
        <v>109</v>
      </c>
      <c r="D140" s="29">
        <v>0</v>
      </c>
      <c r="E140" s="29">
        <v>0</v>
      </c>
      <c r="F140" s="29">
        <v>0</v>
      </c>
      <c r="G140" s="29">
        <v>0</v>
      </c>
      <c r="H140" s="29">
        <v>0</v>
      </c>
      <c r="I140" s="29">
        <v>0</v>
      </c>
      <c r="J140" s="29">
        <f>SUM(D140:I140)</f>
        <v>0</v>
      </c>
      <c r="K140" s="8"/>
      <c r="L140" s="8"/>
    </row>
    <row r="141" spans="1:12">
      <c r="A141" s="8"/>
      <c r="B141" s="8"/>
      <c r="C141" s="8"/>
      <c r="D141" s="20"/>
      <c r="E141" s="20"/>
      <c r="F141" s="20"/>
      <c r="G141" s="20"/>
      <c r="H141" s="20"/>
      <c r="I141" s="20"/>
      <c r="J141" s="20"/>
      <c r="K141" s="8"/>
      <c r="L141" s="8"/>
    </row>
    <row r="142" spans="1:12" ht="15.75" thickBot="1">
      <c r="A142" s="8"/>
      <c r="B142" s="8"/>
      <c r="C142" s="8" t="s">
        <v>10</v>
      </c>
      <c r="D142" s="31">
        <f t="shared" ref="D142:I142" si="20">SUM(D138:D140)</f>
        <v>14503.48</v>
      </c>
      <c r="E142" s="31">
        <f t="shared" si="20"/>
        <v>0</v>
      </c>
      <c r="F142" s="31">
        <f t="shared" si="20"/>
        <v>0</v>
      </c>
      <c r="G142" s="31">
        <f t="shared" si="20"/>
        <v>0</v>
      </c>
      <c r="H142" s="31">
        <f t="shared" si="20"/>
        <v>0</v>
      </c>
      <c r="I142" s="31">
        <f t="shared" si="20"/>
        <v>0</v>
      </c>
      <c r="J142" s="31">
        <f>SUM(D142:I142)</f>
        <v>14503.48</v>
      </c>
      <c r="K142" s="8"/>
      <c r="L142" s="8"/>
    </row>
    <row r="143" spans="1:12" ht="15.75" thickTop="1">
      <c r="A143" s="8"/>
      <c r="B143" s="8"/>
      <c r="C143" s="8"/>
      <c r="D143" s="20"/>
      <c r="E143" s="20"/>
      <c r="F143" s="20"/>
      <c r="G143" s="20"/>
      <c r="H143" s="20"/>
      <c r="I143" s="20"/>
      <c r="J143" s="20"/>
      <c r="K143" s="8"/>
      <c r="L143" s="8"/>
    </row>
    <row r="144" spans="1:12">
      <c r="A144" s="8"/>
      <c r="B144" s="8"/>
      <c r="C144" s="8"/>
      <c r="D144" s="20"/>
      <c r="E144" s="20"/>
      <c r="F144" s="20"/>
      <c r="G144" s="20"/>
      <c r="H144" s="20"/>
      <c r="I144" s="20"/>
      <c r="J144" s="20"/>
      <c r="K144" s="8"/>
      <c r="L144" s="8"/>
    </row>
    <row r="145" spans="1:12">
      <c r="A145" s="8">
        <v>42</v>
      </c>
      <c r="B145" s="8" t="s">
        <v>36</v>
      </c>
      <c r="C145" s="8" t="s">
        <v>12</v>
      </c>
      <c r="D145" s="39">
        <v>13042.5</v>
      </c>
      <c r="E145" s="20">
        <v>325.25</v>
      </c>
      <c r="F145" s="39">
        <v>0</v>
      </c>
      <c r="G145" s="20">
        <v>0</v>
      </c>
      <c r="H145" s="20">
        <v>0</v>
      </c>
      <c r="I145" s="20">
        <v>0</v>
      </c>
      <c r="J145" s="20">
        <f>SUM(D145:I145)</f>
        <v>13367.75</v>
      </c>
      <c r="K145" s="8"/>
      <c r="L145" s="8"/>
    </row>
    <row r="146" spans="1:12" ht="15.75" thickBot="1">
      <c r="A146" s="8"/>
      <c r="B146" s="8"/>
      <c r="C146" s="8" t="s">
        <v>13</v>
      </c>
      <c r="D146" s="29">
        <v>782.56</v>
      </c>
      <c r="E146" s="29">
        <v>58.94</v>
      </c>
      <c r="F146" s="29">
        <v>0</v>
      </c>
      <c r="G146" s="29">
        <v>0</v>
      </c>
      <c r="H146" s="29">
        <v>0</v>
      </c>
      <c r="I146" s="29">
        <v>0</v>
      </c>
      <c r="J146" s="29">
        <f>SUM(D146:I146)</f>
        <v>841.5</v>
      </c>
      <c r="K146" s="8"/>
      <c r="L146" s="8"/>
    </row>
    <row r="147" spans="1:12">
      <c r="A147" s="8"/>
      <c r="B147" s="8"/>
      <c r="C147" s="8"/>
      <c r="D147" s="20"/>
      <c r="E147" s="20"/>
      <c r="F147" s="20"/>
      <c r="G147" s="20"/>
      <c r="H147" s="20"/>
      <c r="I147" s="20"/>
      <c r="J147" s="20"/>
      <c r="K147" s="8"/>
      <c r="L147" s="8"/>
    </row>
    <row r="148" spans="1:12" ht="15.75" thickBot="1">
      <c r="A148" s="8"/>
      <c r="B148" s="8"/>
      <c r="C148" s="8" t="s">
        <v>10</v>
      </c>
      <c r="D148" s="31">
        <f t="shared" ref="D148:I148" si="21">SUM(D145:D146)</f>
        <v>13825.06</v>
      </c>
      <c r="E148" s="31">
        <f t="shared" si="21"/>
        <v>384.19</v>
      </c>
      <c r="F148" s="31">
        <f t="shared" si="21"/>
        <v>0</v>
      </c>
      <c r="G148" s="31">
        <f t="shared" si="21"/>
        <v>0</v>
      </c>
      <c r="H148" s="31">
        <f t="shared" si="21"/>
        <v>0</v>
      </c>
      <c r="I148" s="31">
        <f t="shared" si="21"/>
        <v>0</v>
      </c>
      <c r="J148" s="31">
        <f>SUM(D148:I148)</f>
        <v>14209.25</v>
      </c>
      <c r="K148" s="8"/>
      <c r="L148" s="8"/>
    </row>
    <row r="149" spans="1:12" ht="15.75" thickTop="1">
      <c r="A149" s="8"/>
      <c r="B149" s="8"/>
      <c r="C149" s="8"/>
      <c r="D149" s="20"/>
      <c r="E149" s="20"/>
      <c r="F149" s="20"/>
      <c r="G149" s="20"/>
      <c r="H149" s="20"/>
      <c r="I149" s="20"/>
      <c r="J149" s="20"/>
      <c r="K149" s="8"/>
      <c r="L149" s="8"/>
    </row>
    <row r="150" spans="1:12">
      <c r="A150" s="8"/>
      <c r="B150" s="8"/>
      <c r="C150" s="8"/>
      <c r="D150" s="20"/>
      <c r="E150" s="20"/>
      <c r="F150" s="20"/>
      <c r="G150" s="20"/>
      <c r="H150" s="20"/>
      <c r="I150" s="20"/>
      <c r="J150" s="20"/>
      <c r="K150" s="8"/>
      <c r="L150" s="8"/>
    </row>
    <row r="151" spans="1:12">
      <c r="A151" s="8">
        <v>43</v>
      </c>
      <c r="B151" s="8" t="s">
        <v>37</v>
      </c>
      <c r="C151" s="8" t="s">
        <v>12</v>
      </c>
      <c r="D151" s="20">
        <v>19610.810000000001</v>
      </c>
      <c r="E151" s="20">
        <v>348.73</v>
      </c>
      <c r="F151" s="20">
        <v>0</v>
      </c>
      <c r="G151" s="20">
        <v>0</v>
      </c>
      <c r="H151" s="20">
        <v>0</v>
      </c>
      <c r="I151" s="20">
        <v>0</v>
      </c>
      <c r="J151" s="20">
        <f>SUM(D151:I151)</f>
        <v>19959.54</v>
      </c>
      <c r="K151" s="8"/>
      <c r="L151" s="8"/>
    </row>
    <row r="152" spans="1:12" hidden="1">
      <c r="A152" s="8"/>
      <c r="B152" s="8"/>
      <c r="C152" s="8" t="s">
        <v>35</v>
      </c>
      <c r="D152" s="20"/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f>SUM(D152:I152)</f>
        <v>0</v>
      </c>
      <c r="K152" s="8"/>
      <c r="L152" s="8"/>
    </row>
    <row r="153" spans="1:12" ht="15.75" thickBot="1">
      <c r="A153" s="8"/>
      <c r="B153" s="8"/>
      <c r="C153" s="8" t="s">
        <v>13</v>
      </c>
      <c r="D153" s="29">
        <v>566.53</v>
      </c>
      <c r="E153" s="29">
        <v>4.2699999999999996</v>
      </c>
      <c r="F153" s="29">
        <v>0</v>
      </c>
      <c r="G153" s="29">
        <v>0</v>
      </c>
      <c r="H153" s="29">
        <v>0</v>
      </c>
      <c r="I153" s="29">
        <v>0</v>
      </c>
      <c r="J153" s="29">
        <f>SUM(D153:I153)</f>
        <v>570.79999999999995</v>
      </c>
      <c r="K153" s="8"/>
      <c r="L153" s="8"/>
    </row>
    <row r="154" spans="1:12" ht="15.75" hidden="1" thickBot="1">
      <c r="A154" s="8"/>
      <c r="B154" s="8"/>
      <c r="C154" s="8" t="s">
        <v>78</v>
      </c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f>SUM(D154:I154)</f>
        <v>0</v>
      </c>
      <c r="K154" s="8"/>
      <c r="L154" s="8"/>
    </row>
    <row r="155" spans="1:12">
      <c r="A155" s="8"/>
      <c r="B155" s="8"/>
      <c r="C155" s="8"/>
      <c r="D155" s="20"/>
      <c r="E155" s="20"/>
      <c r="F155" s="20"/>
      <c r="G155" s="20"/>
      <c r="H155" s="20"/>
      <c r="I155" s="20"/>
      <c r="J155" s="20"/>
      <c r="K155" s="8"/>
      <c r="L155" s="8"/>
    </row>
    <row r="156" spans="1:12" ht="15.75" thickBot="1">
      <c r="A156" s="8"/>
      <c r="B156" s="8"/>
      <c r="C156" s="8" t="s">
        <v>10</v>
      </c>
      <c r="D156" s="31">
        <f t="shared" ref="D156:I156" si="22">SUM(D151:D154)</f>
        <v>20177.34</v>
      </c>
      <c r="E156" s="31">
        <f>SUM(E151:E154)</f>
        <v>353</v>
      </c>
      <c r="F156" s="31">
        <f t="shared" si="22"/>
        <v>0</v>
      </c>
      <c r="G156" s="31">
        <f t="shared" si="22"/>
        <v>0</v>
      </c>
      <c r="H156" s="31">
        <f t="shared" si="22"/>
        <v>0</v>
      </c>
      <c r="I156" s="31">
        <f t="shared" si="22"/>
        <v>0</v>
      </c>
      <c r="J156" s="31">
        <f>SUM(D156:I156)</f>
        <v>20530.34</v>
      </c>
      <c r="K156" s="8"/>
      <c r="L156" s="8"/>
    </row>
    <row r="157" spans="1:12" ht="15.75" thickTop="1">
      <c r="A157" s="8"/>
      <c r="B157" s="8"/>
      <c r="C157" s="8"/>
      <c r="D157" s="20"/>
      <c r="E157" s="20"/>
      <c r="F157" s="20"/>
      <c r="G157" s="20"/>
      <c r="H157" s="20"/>
      <c r="I157" s="20"/>
      <c r="J157" s="20"/>
      <c r="K157" s="8"/>
      <c r="L157" s="8"/>
    </row>
    <row r="158" spans="1:12">
      <c r="A158" s="8"/>
      <c r="B158" s="8"/>
      <c r="C158" s="8"/>
      <c r="D158" s="20"/>
      <c r="E158" s="20"/>
      <c r="F158" s="20"/>
      <c r="G158" s="20"/>
      <c r="H158" s="20"/>
      <c r="I158" s="20"/>
      <c r="J158" s="20"/>
      <c r="K158" s="8"/>
      <c r="L158" s="8"/>
    </row>
    <row r="159" spans="1:12" ht="15.75" thickBot="1">
      <c r="A159" s="8">
        <v>44</v>
      </c>
      <c r="B159" s="8" t="s">
        <v>38</v>
      </c>
      <c r="C159" s="8" t="s">
        <v>12</v>
      </c>
      <c r="D159" s="29">
        <v>12918.5</v>
      </c>
      <c r="E159" s="29">
        <v>469.11</v>
      </c>
      <c r="F159" s="29">
        <v>24.69</v>
      </c>
      <c r="G159" s="29">
        <v>0</v>
      </c>
      <c r="H159" s="29">
        <v>0</v>
      </c>
      <c r="I159" s="29">
        <v>0</v>
      </c>
      <c r="J159" s="29">
        <f>SUM(D159:I159)</f>
        <v>13412.300000000001</v>
      </c>
      <c r="K159" s="8"/>
      <c r="L159" s="8"/>
    </row>
    <row r="160" spans="1:12">
      <c r="A160" s="8"/>
      <c r="B160" s="8"/>
      <c r="C160" s="8"/>
      <c r="D160" s="20"/>
      <c r="E160" s="20"/>
      <c r="F160" s="20"/>
      <c r="G160" s="20"/>
      <c r="H160" s="20"/>
      <c r="I160" s="20"/>
      <c r="J160" s="20"/>
      <c r="K160" s="8"/>
      <c r="L160" s="8"/>
    </row>
    <row r="161" spans="1:12" ht="15.75" thickBot="1">
      <c r="A161" s="8"/>
      <c r="B161" s="8"/>
      <c r="C161" s="8" t="s">
        <v>10</v>
      </c>
      <c r="D161" s="31">
        <f t="shared" ref="D161:I161" si="23">SUM(D159:D160)</f>
        <v>12918.5</v>
      </c>
      <c r="E161" s="31">
        <f t="shared" si="23"/>
        <v>469.11</v>
      </c>
      <c r="F161" s="31">
        <f t="shared" si="23"/>
        <v>24.69</v>
      </c>
      <c r="G161" s="31">
        <f t="shared" si="23"/>
        <v>0</v>
      </c>
      <c r="H161" s="31">
        <f t="shared" si="23"/>
        <v>0</v>
      </c>
      <c r="I161" s="31">
        <f t="shared" si="23"/>
        <v>0</v>
      </c>
      <c r="J161" s="31">
        <f>SUM(D161:I161)</f>
        <v>13412.300000000001</v>
      </c>
      <c r="K161" s="8"/>
      <c r="L161" s="8"/>
    </row>
    <row r="162" spans="1:12" ht="15.75" thickTop="1">
      <c r="A162" s="8"/>
      <c r="B162" s="8"/>
      <c r="C162" s="8"/>
      <c r="D162" s="20"/>
      <c r="E162" s="20"/>
      <c r="F162" s="20"/>
      <c r="G162" s="20" t="s">
        <v>70</v>
      </c>
      <c r="H162" s="20" t="s">
        <v>70</v>
      </c>
      <c r="I162" s="20" t="s">
        <v>70</v>
      </c>
      <c r="J162" s="20"/>
      <c r="K162" s="8"/>
      <c r="L162" s="8"/>
    </row>
    <row r="163" spans="1:12">
      <c r="A163" s="8"/>
      <c r="B163" s="8"/>
      <c r="C163" s="8"/>
      <c r="D163" s="20"/>
      <c r="E163" s="20"/>
      <c r="F163" s="20"/>
      <c r="G163" s="20"/>
      <c r="H163" s="20"/>
      <c r="I163" s="20"/>
      <c r="J163" s="20"/>
      <c r="K163" s="8"/>
      <c r="L163" s="8"/>
    </row>
    <row r="164" spans="1:12">
      <c r="A164" s="8">
        <v>45</v>
      </c>
      <c r="B164" s="8" t="s">
        <v>39</v>
      </c>
      <c r="C164" s="8" t="s">
        <v>12</v>
      </c>
      <c r="D164" s="20">
        <v>11995</v>
      </c>
      <c r="E164" s="20">
        <v>136.47999999999999</v>
      </c>
      <c r="F164" s="20">
        <v>1.26</v>
      </c>
      <c r="G164" s="20">
        <v>0</v>
      </c>
      <c r="H164" s="20">
        <v>0</v>
      </c>
      <c r="I164" s="20">
        <v>0</v>
      </c>
      <c r="J164" s="20">
        <f>SUM(D164:I164)</f>
        <v>12132.74</v>
      </c>
      <c r="K164" s="8"/>
      <c r="L164" s="8"/>
    </row>
    <row r="165" spans="1:12" ht="15.75" thickBot="1">
      <c r="A165" s="8"/>
      <c r="B165" s="8"/>
      <c r="C165" s="38" t="s">
        <v>116</v>
      </c>
      <c r="D165" s="29">
        <v>6364.01</v>
      </c>
      <c r="E165" s="29">
        <v>59.98</v>
      </c>
      <c r="F165" s="29">
        <v>0.57999999999999996</v>
      </c>
      <c r="G165" s="29">
        <v>0</v>
      </c>
      <c r="H165" s="29">
        <v>0</v>
      </c>
      <c r="I165" s="29">
        <v>0</v>
      </c>
      <c r="J165" s="29">
        <f>SUM(D165:I165)</f>
        <v>6424.57</v>
      </c>
      <c r="K165" s="8"/>
      <c r="L165" s="8"/>
    </row>
    <row r="166" spans="1:12">
      <c r="A166" s="8"/>
      <c r="B166" s="8"/>
      <c r="C166" s="8"/>
      <c r="D166" s="20"/>
      <c r="E166" s="20"/>
      <c r="F166" s="20"/>
      <c r="G166" s="20"/>
      <c r="H166" s="20"/>
      <c r="I166" s="20"/>
      <c r="J166" s="20"/>
      <c r="K166" s="8"/>
      <c r="L166" s="8"/>
    </row>
    <row r="167" spans="1:12" ht="15.75" thickBot="1">
      <c r="A167" s="8"/>
      <c r="B167" s="8"/>
      <c r="C167" s="8" t="s">
        <v>10</v>
      </c>
      <c r="D167" s="31">
        <f t="shared" ref="D167:I167" si="24">SUM(D164:D166)</f>
        <v>18359.010000000002</v>
      </c>
      <c r="E167" s="31">
        <f t="shared" si="24"/>
        <v>196.45999999999998</v>
      </c>
      <c r="F167" s="31">
        <f t="shared" si="24"/>
        <v>1.8399999999999999</v>
      </c>
      <c r="G167" s="31">
        <f t="shared" si="24"/>
        <v>0</v>
      </c>
      <c r="H167" s="31">
        <f t="shared" si="24"/>
        <v>0</v>
      </c>
      <c r="I167" s="31">
        <f t="shared" si="24"/>
        <v>0</v>
      </c>
      <c r="J167" s="31">
        <f>SUM(D167:I167)</f>
        <v>18557.310000000001</v>
      </c>
      <c r="K167" s="8"/>
      <c r="L167" s="8"/>
    </row>
    <row r="168" spans="1:12" ht="15.75" thickTop="1">
      <c r="A168" s="8"/>
      <c r="B168" s="8"/>
      <c r="C168" s="8"/>
      <c r="D168" s="20"/>
      <c r="E168" s="20"/>
      <c r="F168" s="20"/>
      <c r="G168" s="20"/>
      <c r="H168" s="20"/>
      <c r="I168" s="20"/>
      <c r="J168" s="20"/>
      <c r="K168" s="8"/>
      <c r="L168" s="8"/>
    </row>
    <row r="169" spans="1:12">
      <c r="A169" s="8"/>
      <c r="B169" s="8"/>
      <c r="C169" s="8"/>
      <c r="D169" s="20"/>
      <c r="E169" s="20"/>
      <c r="F169" s="20"/>
      <c r="G169" s="20"/>
      <c r="H169" s="20"/>
      <c r="I169" s="20"/>
      <c r="J169" s="20"/>
      <c r="K169" s="8"/>
      <c r="L169" s="8"/>
    </row>
    <row r="170" spans="1:12" ht="15.75" thickBot="1">
      <c r="A170" s="8">
        <v>46</v>
      </c>
      <c r="B170" s="8" t="s">
        <v>40</v>
      </c>
      <c r="C170" s="8" t="s">
        <v>12</v>
      </c>
      <c r="D170" s="29">
        <v>11951.34</v>
      </c>
      <c r="E170" s="29">
        <v>67.14</v>
      </c>
      <c r="F170" s="29">
        <v>27.11</v>
      </c>
      <c r="G170" s="29">
        <v>0</v>
      </c>
      <c r="H170" s="29">
        <v>0</v>
      </c>
      <c r="I170" s="29">
        <v>0</v>
      </c>
      <c r="J170" s="29">
        <f>SUM(D170:I170)</f>
        <v>12045.59</v>
      </c>
      <c r="K170" s="8"/>
      <c r="L170" s="8"/>
    </row>
    <row r="171" spans="1:12">
      <c r="A171" s="8"/>
      <c r="B171" s="8"/>
      <c r="C171" s="8"/>
      <c r="D171" s="20"/>
      <c r="E171" s="20"/>
      <c r="F171" s="20"/>
      <c r="G171" s="20"/>
      <c r="H171" s="20"/>
      <c r="I171" s="20"/>
      <c r="J171" s="20"/>
      <c r="K171" s="8"/>
      <c r="L171" s="8"/>
    </row>
    <row r="172" spans="1:12" ht="15.75" thickBot="1">
      <c r="A172" s="8"/>
      <c r="B172" s="8"/>
      <c r="C172" s="8" t="s">
        <v>10</v>
      </c>
      <c r="D172" s="31">
        <f t="shared" ref="D172:I172" si="25">SUM(D170:D171)</f>
        <v>11951.34</v>
      </c>
      <c r="E172" s="31">
        <f t="shared" si="25"/>
        <v>67.14</v>
      </c>
      <c r="F172" s="31">
        <f t="shared" si="25"/>
        <v>27.11</v>
      </c>
      <c r="G172" s="31">
        <f t="shared" si="25"/>
        <v>0</v>
      </c>
      <c r="H172" s="31">
        <f t="shared" si="25"/>
        <v>0</v>
      </c>
      <c r="I172" s="31">
        <f t="shared" si="25"/>
        <v>0</v>
      </c>
      <c r="J172" s="31">
        <f>SUM(D172:I172)</f>
        <v>12045.59</v>
      </c>
      <c r="K172" s="8"/>
      <c r="L172" s="8"/>
    </row>
    <row r="173" spans="1:12" ht="15.75" thickTop="1">
      <c r="A173" s="8"/>
      <c r="B173" s="8"/>
      <c r="C173" s="8"/>
      <c r="D173" s="20"/>
      <c r="E173" s="20"/>
      <c r="F173" s="20"/>
      <c r="G173" s="20"/>
      <c r="H173" s="20"/>
      <c r="I173" s="20"/>
      <c r="J173" s="20"/>
      <c r="K173" s="8"/>
      <c r="L173" s="8"/>
    </row>
    <row r="174" spans="1:12">
      <c r="A174" s="8"/>
      <c r="B174" s="8"/>
      <c r="C174" s="8"/>
      <c r="D174" s="20"/>
      <c r="E174" s="20"/>
      <c r="F174" s="20"/>
      <c r="G174" s="20"/>
      <c r="H174" s="20"/>
      <c r="I174" s="20"/>
      <c r="J174" s="20"/>
      <c r="K174" s="8"/>
      <c r="L174" s="8"/>
    </row>
    <row r="175" spans="1:12" ht="15.75" thickBot="1">
      <c r="A175" s="8">
        <v>47</v>
      </c>
      <c r="B175" s="8" t="s">
        <v>41</v>
      </c>
      <c r="C175" s="8" t="s">
        <v>12</v>
      </c>
      <c r="D175" s="29">
        <v>8614.83</v>
      </c>
      <c r="E175" s="29">
        <v>431.04</v>
      </c>
      <c r="F175" s="29">
        <v>95.52</v>
      </c>
      <c r="G175" s="29">
        <v>0</v>
      </c>
      <c r="H175" s="29">
        <v>0</v>
      </c>
      <c r="I175" s="29">
        <v>0</v>
      </c>
      <c r="J175" s="29">
        <f>SUM(D175:I175)</f>
        <v>9141.3900000000012</v>
      </c>
      <c r="K175" s="8"/>
      <c r="L175" s="8"/>
    </row>
    <row r="176" spans="1:12">
      <c r="A176" s="8"/>
      <c r="B176" s="8"/>
      <c r="C176" s="8"/>
      <c r="D176" s="20"/>
      <c r="E176" s="20"/>
      <c r="F176" s="20"/>
      <c r="G176" s="20"/>
      <c r="H176" s="20"/>
      <c r="I176" s="20"/>
      <c r="J176" s="20"/>
      <c r="K176" s="8"/>
      <c r="L176" s="8"/>
    </row>
    <row r="177" spans="1:12" ht="15.75" thickBot="1">
      <c r="A177" s="8"/>
      <c r="B177" s="8"/>
      <c r="C177" s="8" t="s">
        <v>10</v>
      </c>
      <c r="D177" s="31">
        <f t="shared" ref="D177:I177" si="26">SUM(D175:D176)</f>
        <v>8614.83</v>
      </c>
      <c r="E177" s="31">
        <f t="shared" si="26"/>
        <v>431.04</v>
      </c>
      <c r="F177" s="31">
        <f t="shared" si="26"/>
        <v>95.52</v>
      </c>
      <c r="G177" s="31">
        <f t="shared" si="26"/>
        <v>0</v>
      </c>
      <c r="H177" s="31">
        <f t="shared" si="26"/>
        <v>0</v>
      </c>
      <c r="I177" s="31">
        <f t="shared" si="26"/>
        <v>0</v>
      </c>
      <c r="J177" s="31">
        <f>SUM(D177:I177)</f>
        <v>9141.3900000000012</v>
      </c>
      <c r="K177" s="8"/>
      <c r="L177" s="8"/>
    </row>
    <row r="178" spans="1:12" ht="15.75" thickTop="1">
      <c r="A178" s="8"/>
      <c r="B178" s="8"/>
      <c r="C178" s="8"/>
      <c r="D178" s="20"/>
      <c r="E178" s="20"/>
      <c r="F178" s="20"/>
      <c r="G178" s="20"/>
      <c r="H178" s="20"/>
      <c r="I178" s="20"/>
      <c r="J178" s="20"/>
      <c r="K178" s="8"/>
      <c r="L178" s="8"/>
    </row>
    <row r="179" spans="1:12">
      <c r="A179" s="8"/>
      <c r="B179" s="8"/>
      <c r="C179" s="8"/>
      <c r="D179" s="20"/>
      <c r="E179" s="20"/>
      <c r="F179" s="20"/>
      <c r="G179" s="20"/>
      <c r="H179" s="20"/>
      <c r="I179" s="20"/>
      <c r="J179" s="20"/>
      <c r="K179" s="8"/>
      <c r="L179" s="8"/>
    </row>
    <row r="180" spans="1:12" ht="15.75" thickBot="1">
      <c r="A180" s="8">
        <v>48</v>
      </c>
      <c r="B180" s="8" t="s">
        <v>42</v>
      </c>
      <c r="C180" s="8" t="s">
        <v>12</v>
      </c>
      <c r="D180" s="29">
        <v>8832.85</v>
      </c>
      <c r="E180" s="29">
        <v>227.08</v>
      </c>
      <c r="F180" s="29">
        <v>0</v>
      </c>
      <c r="G180" s="29">
        <v>0</v>
      </c>
      <c r="H180" s="29">
        <v>0</v>
      </c>
      <c r="I180" s="29">
        <v>0</v>
      </c>
      <c r="J180" s="29">
        <f>SUM(D180:I180)</f>
        <v>9059.93</v>
      </c>
      <c r="K180" s="8"/>
      <c r="L180" s="8"/>
    </row>
    <row r="181" spans="1:12">
      <c r="A181" s="8"/>
      <c r="B181" s="8"/>
      <c r="C181" s="8"/>
      <c r="D181" s="20"/>
      <c r="E181" s="20"/>
      <c r="F181" s="20"/>
      <c r="G181" s="20"/>
      <c r="H181" s="20"/>
      <c r="I181" s="20"/>
      <c r="J181" s="20"/>
      <c r="K181" s="8"/>
      <c r="L181" s="8"/>
    </row>
    <row r="182" spans="1:12" ht="15.75" thickBot="1">
      <c r="A182" s="8"/>
      <c r="B182" s="8"/>
      <c r="C182" s="8"/>
      <c r="D182" s="31">
        <f t="shared" ref="D182:I182" si="27">SUM(D180:D181)</f>
        <v>8832.85</v>
      </c>
      <c r="E182" s="31">
        <f t="shared" si="27"/>
        <v>227.08</v>
      </c>
      <c r="F182" s="31">
        <f t="shared" si="27"/>
        <v>0</v>
      </c>
      <c r="G182" s="31">
        <f t="shared" si="27"/>
        <v>0</v>
      </c>
      <c r="H182" s="31">
        <f t="shared" si="27"/>
        <v>0</v>
      </c>
      <c r="I182" s="31">
        <f t="shared" si="27"/>
        <v>0</v>
      </c>
      <c r="J182" s="31">
        <f>SUM(D182:I182)</f>
        <v>9059.93</v>
      </c>
      <c r="K182" s="8"/>
      <c r="L182" s="8"/>
    </row>
    <row r="183" spans="1:12" ht="15.75" thickTop="1">
      <c r="A183" s="8"/>
      <c r="B183" s="8"/>
      <c r="C183" s="8"/>
      <c r="D183" s="20"/>
      <c r="E183" s="20"/>
      <c r="F183" s="20"/>
      <c r="G183" s="20"/>
      <c r="H183" s="20"/>
      <c r="I183" s="20"/>
      <c r="J183" s="20"/>
      <c r="K183" s="8"/>
      <c r="L183" s="8"/>
    </row>
    <row r="184" spans="1:12">
      <c r="A184" s="8"/>
      <c r="B184" s="8"/>
      <c r="C184" s="8"/>
      <c r="D184" s="20"/>
      <c r="E184" s="20"/>
      <c r="F184" s="20"/>
      <c r="G184" s="20"/>
      <c r="H184" s="20"/>
      <c r="I184" s="20"/>
      <c r="J184" s="20"/>
      <c r="K184" s="8"/>
      <c r="L184" s="8"/>
    </row>
    <row r="185" spans="1:12" ht="15.75" thickBot="1">
      <c r="A185" s="8">
        <v>49</v>
      </c>
      <c r="B185" s="8" t="s">
        <v>43</v>
      </c>
      <c r="C185" s="8" t="s">
        <v>12</v>
      </c>
      <c r="D185" s="29">
        <v>18999.18</v>
      </c>
      <c r="E185" s="29">
        <v>376.11</v>
      </c>
      <c r="F185" s="29">
        <v>75.38</v>
      </c>
      <c r="G185" s="29">
        <v>0</v>
      </c>
      <c r="H185" s="29">
        <v>0</v>
      </c>
      <c r="I185" s="29">
        <v>0</v>
      </c>
      <c r="J185" s="29">
        <f>SUM(D185:I185)</f>
        <v>19450.670000000002</v>
      </c>
      <c r="K185" s="8"/>
      <c r="L185" s="8"/>
    </row>
    <row r="186" spans="1:12">
      <c r="A186" s="8"/>
      <c r="B186" s="8"/>
      <c r="C186" s="8"/>
      <c r="D186" s="20"/>
      <c r="E186" s="20"/>
      <c r="F186" s="20"/>
      <c r="G186" s="20"/>
      <c r="H186" s="20"/>
      <c r="I186" s="20"/>
      <c r="J186" s="20"/>
      <c r="K186" s="8"/>
      <c r="L186" s="8"/>
    </row>
    <row r="187" spans="1:12" ht="15.75" thickBot="1">
      <c r="A187" s="8"/>
      <c r="B187" s="8"/>
      <c r="C187" s="8" t="s">
        <v>10</v>
      </c>
      <c r="D187" s="31">
        <f t="shared" ref="D187:I187" si="28">SUM(D185:D186)</f>
        <v>18999.18</v>
      </c>
      <c r="E187" s="31">
        <f t="shared" si="28"/>
        <v>376.11</v>
      </c>
      <c r="F187" s="31">
        <f t="shared" si="28"/>
        <v>75.38</v>
      </c>
      <c r="G187" s="31">
        <f t="shared" si="28"/>
        <v>0</v>
      </c>
      <c r="H187" s="31">
        <f t="shared" si="28"/>
        <v>0</v>
      </c>
      <c r="I187" s="31">
        <f t="shared" si="28"/>
        <v>0</v>
      </c>
      <c r="J187" s="31">
        <f>SUM(D187:I187)</f>
        <v>19450.670000000002</v>
      </c>
      <c r="K187" s="8"/>
      <c r="L187" s="8"/>
    </row>
    <row r="188" spans="1:12" ht="15.75" thickTop="1">
      <c r="A188" s="8"/>
      <c r="B188" s="8"/>
      <c r="C188" s="8"/>
      <c r="D188" s="20"/>
      <c r="E188" s="20"/>
      <c r="F188" s="20"/>
      <c r="G188" s="20"/>
      <c r="H188" s="20"/>
      <c r="I188" s="20"/>
      <c r="J188" s="20"/>
      <c r="K188" s="8"/>
      <c r="L188" s="8"/>
    </row>
    <row r="189" spans="1:12">
      <c r="A189" s="8"/>
      <c r="B189" s="8"/>
      <c r="C189" s="8"/>
      <c r="D189" s="20"/>
      <c r="E189" s="20"/>
      <c r="F189" s="20"/>
      <c r="G189" s="20"/>
      <c r="H189" s="20"/>
      <c r="I189" s="20"/>
      <c r="J189" s="20"/>
      <c r="K189" s="8"/>
      <c r="L189" s="8"/>
    </row>
    <row r="190" spans="1:12">
      <c r="A190" s="8">
        <v>50</v>
      </c>
      <c r="B190" s="8" t="s">
        <v>44</v>
      </c>
      <c r="C190" s="8" t="s">
        <v>12</v>
      </c>
      <c r="D190" s="20">
        <v>4698.6400000000003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f>SUM(D190:I190)</f>
        <v>4698.6400000000003</v>
      </c>
      <c r="K190" s="8"/>
      <c r="L190" s="8"/>
    </row>
    <row r="191" spans="1:12" ht="15.75" thickBot="1">
      <c r="A191" s="8"/>
      <c r="B191" s="8"/>
      <c r="C191" s="8" t="s">
        <v>13</v>
      </c>
      <c r="D191" s="29">
        <v>76.02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f>SUM(D191:I191)</f>
        <v>76.02</v>
      </c>
      <c r="K191" s="8"/>
      <c r="L191" s="8"/>
    </row>
    <row r="192" spans="1:12">
      <c r="A192" s="8"/>
      <c r="B192" s="8"/>
      <c r="C192" s="8"/>
      <c r="D192" s="20"/>
      <c r="E192" s="20"/>
      <c r="F192" s="20"/>
      <c r="G192" s="20"/>
      <c r="H192" s="20"/>
      <c r="I192" s="20"/>
      <c r="J192" s="20"/>
      <c r="K192" s="8"/>
      <c r="L192" s="8"/>
    </row>
    <row r="193" spans="1:12" ht="15.75" thickBot="1">
      <c r="A193" s="8"/>
      <c r="B193" s="8"/>
      <c r="C193" s="8" t="s">
        <v>10</v>
      </c>
      <c r="D193" s="31">
        <f t="shared" ref="D193:I193" si="29">SUM(D190:D191)</f>
        <v>4774.6600000000008</v>
      </c>
      <c r="E193" s="31">
        <f t="shared" si="29"/>
        <v>0</v>
      </c>
      <c r="F193" s="31">
        <f t="shared" si="29"/>
        <v>0</v>
      </c>
      <c r="G193" s="31">
        <f t="shared" si="29"/>
        <v>0</v>
      </c>
      <c r="H193" s="31">
        <f t="shared" si="29"/>
        <v>0</v>
      </c>
      <c r="I193" s="31">
        <f t="shared" si="29"/>
        <v>0</v>
      </c>
      <c r="J193" s="31">
        <f>SUM(D193:I193)</f>
        <v>4774.6600000000008</v>
      </c>
      <c r="K193" s="8"/>
      <c r="L193" s="8"/>
    </row>
    <row r="194" spans="1:12" ht="15.75" thickTop="1">
      <c r="A194" s="8"/>
      <c r="B194" s="8"/>
      <c r="C194" s="8"/>
      <c r="D194" s="20"/>
      <c r="E194" s="20"/>
      <c r="F194" s="20"/>
      <c r="G194" s="20"/>
      <c r="H194" s="20"/>
      <c r="I194" s="20"/>
      <c r="J194" s="20"/>
      <c r="K194" s="8"/>
      <c r="L194" s="8"/>
    </row>
    <row r="195" spans="1:12">
      <c r="A195" s="8"/>
      <c r="B195" s="8"/>
      <c r="C195" s="8"/>
      <c r="D195" s="20"/>
      <c r="E195" s="20"/>
      <c r="F195" s="20"/>
      <c r="G195" s="20"/>
      <c r="H195" s="20"/>
      <c r="I195" s="20"/>
      <c r="J195" s="20"/>
      <c r="K195" s="8"/>
      <c r="L195" s="8"/>
    </row>
    <row r="196" spans="1:12" ht="15.75" thickBot="1">
      <c r="A196" s="8">
        <v>51</v>
      </c>
      <c r="B196" s="8" t="s">
        <v>45</v>
      </c>
      <c r="C196" s="8" t="s">
        <v>12</v>
      </c>
      <c r="D196" s="29">
        <v>8848.4599999999991</v>
      </c>
      <c r="E196" s="29">
        <v>15.91</v>
      </c>
      <c r="F196" s="29">
        <v>1.36</v>
      </c>
      <c r="G196" s="29">
        <v>0</v>
      </c>
      <c r="H196" s="29">
        <v>0</v>
      </c>
      <c r="I196" s="29">
        <v>0</v>
      </c>
      <c r="J196" s="29">
        <f>SUM(D196:I196)</f>
        <v>8865.73</v>
      </c>
      <c r="K196" s="8"/>
      <c r="L196" s="8"/>
    </row>
    <row r="197" spans="1:12" hidden="1">
      <c r="A197" s="8"/>
      <c r="B197" s="8"/>
      <c r="C197" s="8" t="s">
        <v>13</v>
      </c>
      <c r="D197" s="20"/>
      <c r="E197" s="20"/>
      <c r="F197" s="20"/>
      <c r="G197" s="20"/>
      <c r="H197" s="20"/>
      <c r="I197" s="20"/>
      <c r="J197" s="20">
        <f>SUM(D197:I197)</f>
        <v>0</v>
      </c>
      <c r="K197" s="8"/>
      <c r="L197" s="8"/>
    </row>
    <row r="198" spans="1:12" ht="15.75" hidden="1" thickBot="1">
      <c r="A198" s="8"/>
      <c r="B198" s="8"/>
      <c r="C198" s="8" t="s">
        <v>46</v>
      </c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29">
        <f>SUM(D198:I198)</f>
        <v>0</v>
      </c>
      <c r="K198" s="8"/>
      <c r="L198" s="8"/>
    </row>
    <row r="199" spans="1:12">
      <c r="A199" s="8"/>
      <c r="B199" s="8"/>
      <c r="C199" s="8"/>
      <c r="D199" s="20"/>
      <c r="E199" s="20"/>
      <c r="F199" s="20"/>
      <c r="G199" s="20"/>
      <c r="H199" s="20"/>
      <c r="I199" s="20"/>
      <c r="J199" s="20"/>
      <c r="K199" s="8"/>
      <c r="L199" s="8"/>
    </row>
    <row r="200" spans="1:12" ht="15.75" thickBot="1">
      <c r="A200" s="8"/>
      <c r="B200" s="8"/>
      <c r="C200" s="8" t="s">
        <v>10</v>
      </c>
      <c r="D200" s="31">
        <f t="shared" ref="D200:I200" si="30">SUM(D196:D198)</f>
        <v>8848.4599999999991</v>
      </c>
      <c r="E200" s="31">
        <f t="shared" si="30"/>
        <v>15.91</v>
      </c>
      <c r="F200" s="31">
        <f t="shared" si="30"/>
        <v>1.36</v>
      </c>
      <c r="G200" s="31">
        <f t="shared" si="30"/>
        <v>0</v>
      </c>
      <c r="H200" s="31">
        <f t="shared" si="30"/>
        <v>0</v>
      </c>
      <c r="I200" s="31">
        <f t="shared" si="30"/>
        <v>0</v>
      </c>
      <c r="J200" s="31">
        <f>SUM(D200:I200)</f>
        <v>8865.73</v>
      </c>
      <c r="K200" s="8"/>
      <c r="L200" s="8"/>
    </row>
    <row r="201" spans="1:12" ht="15.75" thickTop="1">
      <c r="A201" s="8"/>
      <c r="B201" s="8"/>
      <c r="C201" s="8"/>
      <c r="D201" s="20"/>
      <c r="E201" s="20"/>
      <c r="F201" s="20"/>
      <c r="G201" s="20"/>
      <c r="H201" s="20"/>
      <c r="I201" s="20"/>
      <c r="J201" s="20"/>
      <c r="K201" s="8"/>
      <c r="L201" s="8"/>
    </row>
    <row r="202" spans="1:12">
      <c r="A202" s="8"/>
      <c r="B202" s="8"/>
      <c r="C202" s="8"/>
      <c r="D202" s="20"/>
      <c r="E202" s="20"/>
      <c r="F202" s="20"/>
      <c r="G202" s="20"/>
      <c r="H202" s="20"/>
      <c r="I202" s="20"/>
      <c r="J202" s="20"/>
      <c r="K202" s="8"/>
      <c r="L202" s="8"/>
    </row>
    <row r="203" spans="1:12">
      <c r="A203" s="8">
        <v>52</v>
      </c>
      <c r="B203" s="8" t="s">
        <v>47</v>
      </c>
      <c r="C203" s="8" t="s">
        <v>12</v>
      </c>
      <c r="D203" s="25">
        <v>13731.83</v>
      </c>
      <c r="E203" s="25">
        <v>183.43</v>
      </c>
      <c r="F203" s="25">
        <v>34.130000000000003</v>
      </c>
      <c r="G203" s="25">
        <v>0</v>
      </c>
      <c r="H203" s="25">
        <v>0</v>
      </c>
      <c r="I203" s="25">
        <v>0</v>
      </c>
      <c r="J203" s="25">
        <f>SUM(D203:I203)</f>
        <v>13949.39</v>
      </c>
      <c r="K203" s="8"/>
      <c r="L203" s="8"/>
    </row>
    <row r="204" spans="1:12" ht="15.75" hidden="1" thickBot="1">
      <c r="A204" s="8"/>
      <c r="B204" s="8"/>
      <c r="C204" s="8" t="s">
        <v>13</v>
      </c>
      <c r="D204" s="29"/>
      <c r="E204" s="29"/>
      <c r="F204" s="29"/>
      <c r="G204" s="29"/>
      <c r="H204" s="29"/>
      <c r="I204" s="29"/>
      <c r="J204" s="29">
        <v>0</v>
      </c>
      <c r="K204" s="8"/>
      <c r="L204" s="8"/>
    </row>
    <row r="205" spans="1:12">
      <c r="A205" s="8"/>
      <c r="B205" s="8"/>
      <c r="C205" s="8"/>
      <c r="D205" s="20"/>
      <c r="E205" s="20"/>
      <c r="F205" s="20"/>
      <c r="G205" s="20"/>
      <c r="H205" s="20"/>
      <c r="I205" s="20"/>
      <c r="J205" s="20"/>
      <c r="K205" s="8"/>
      <c r="L205" s="8"/>
    </row>
    <row r="206" spans="1:12" ht="15.75" thickBot="1">
      <c r="A206" s="8"/>
      <c r="B206" s="8"/>
      <c r="C206" s="8" t="s">
        <v>10</v>
      </c>
      <c r="D206" s="31">
        <f t="shared" ref="D206:I206" si="31">SUM(D203:D204)</f>
        <v>13731.83</v>
      </c>
      <c r="E206" s="31">
        <f t="shared" si="31"/>
        <v>183.43</v>
      </c>
      <c r="F206" s="31">
        <f t="shared" si="31"/>
        <v>34.130000000000003</v>
      </c>
      <c r="G206" s="31">
        <f t="shared" si="31"/>
        <v>0</v>
      </c>
      <c r="H206" s="31">
        <f t="shared" si="31"/>
        <v>0</v>
      </c>
      <c r="I206" s="31">
        <f t="shared" si="31"/>
        <v>0</v>
      </c>
      <c r="J206" s="31">
        <f>SUM(D206:I206)</f>
        <v>13949.39</v>
      </c>
      <c r="K206" s="8"/>
      <c r="L206" s="8"/>
    </row>
    <row r="207" spans="1:12" ht="15.75" thickTop="1">
      <c r="A207" s="8"/>
      <c r="B207" s="8"/>
      <c r="C207" s="8"/>
      <c r="D207" s="20"/>
      <c r="E207" s="20"/>
      <c r="F207" s="20"/>
      <c r="G207" s="20"/>
      <c r="H207" s="20"/>
      <c r="I207" s="20"/>
      <c r="J207" s="20"/>
      <c r="K207" s="8"/>
      <c r="L207" s="8"/>
    </row>
    <row r="208" spans="1:12">
      <c r="A208" s="8"/>
      <c r="B208" s="8"/>
      <c r="C208" s="8"/>
      <c r="D208" s="20"/>
      <c r="E208" s="20"/>
      <c r="F208" s="20"/>
      <c r="G208" s="20"/>
      <c r="H208" s="20"/>
      <c r="I208" s="20"/>
      <c r="J208" s="20"/>
      <c r="K208" s="8"/>
      <c r="L208" s="8"/>
    </row>
    <row r="209" spans="1:12" ht="15.75" thickBot="1">
      <c r="A209" s="8">
        <v>53</v>
      </c>
      <c r="B209" s="8" t="s">
        <v>48</v>
      </c>
      <c r="C209" s="8" t="s">
        <v>12</v>
      </c>
      <c r="D209" s="29">
        <v>26101.79</v>
      </c>
      <c r="E209" s="29">
        <v>68.12</v>
      </c>
      <c r="F209" s="29">
        <v>0</v>
      </c>
      <c r="G209" s="29">
        <v>0</v>
      </c>
      <c r="H209" s="29">
        <v>0</v>
      </c>
      <c r="I209" s="29">
        <v>0</v>
      </c>
      <c r="J209" s="29">
        <f>SUM(D209:I209)</f>
        <v>26169.91</v>
      </c>
      <c r="K209" s="8"/>
      <c r="L209" s="8"/>
    </row>
    <row r="210" spans="1:12" hidden="1">
      <c r="A210" s="8"/>
      <c r="B210" s="8"/>
      <c r="C210" s="8" t="s">
        <v>35</v>
      </c>
      <c r="D210" s="20">
        <v>0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f>SUM(D210:I210)</f>
        <v>0</v>
      </c>
      <c r="K210" s="8"/>
      <c r="L210" s="8"/>
    </row>
    <row r="211" spans="1:12" hidden="1">
      <c r="A211" s="8"/>
      <c r="B211" s="8"/>
      <c r="C211" s="8" t="s">
        <v>97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f>SUM(D211:I211)</f>
        <v>0</v>
      </c>
      <c r="K211" s="8"/>
      <c r="L211" s="8"/>
    </row>
    <row r="212" spans="1:12" ht="15.75" hidden="1" thickBot="1">
      <c r="A212" s="8"/>
      <c r="B212" s="8"/>
      <c r="C212" s="8" t="s">
        <v>98</v>
      </c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29">
        <f>SUM(D212:I212)</f>
        <v>0</v>
      </c>
      <c r="K212" s="8"/>
      <c r="L212" s="8"/>
    </row>
    <row r="213" spans="1:12">
      <c r="A213" s="8"/>
      <c r="B213" s="8"/>
      <c r="C213" s="8"/>
      <c r="D213" s="20"/>
      <c r="E213" s="20"/>
      <c r="F213" s="20"/>
      <c r="G213" s="20"/>
      <c r="H213" s="20"/>
      <c r="I213" s="20"/>
      <c r="J213" s="20"/>
      <c r="K213" s="8"/>
      <c r="L213" s="8"/>
    </row>
    <row r="214" spans="1:12" ht="15.75" thickBot="1">
      <c r="A214" s="8"/>
      <c r="B214" s="8"/>
      <c r="C214" s="8" t="s">
        <v>10</v>
      </c>
      <c r="D214" s="31">
        <f>SUM(D209:D213)</f>
        <v>26101.79</v>
      </c>
      <c r="E214" s="31">
        <f t="shared" ref="E214:J214" si="32">SUM(E209:E213)</f>
        <v>68.12</v>
      </c>
      <c r="F214" s="31">
        <f t="shared" si="32"/>
        <v>0</v>
      </c>
      <c r="G214" s="31">
        <f t="shared" si="32"/>
        <v>0</v>
      </c>
      <c r="H214" s="31">
        <f t="shared" si="32"/>
        <v>0</v>
      </c>
      <c r="I214" s="31">
        <f t="shared" si="32"/>
        <v>0</v>
      </c>
      <c r="J214" s="31">
        <f t="shared" si="32"/>
        <v>26169.91</v>
      </c>
      <c r="K214" s="8"/>
      <c r="L214" s="8"/>
    </row>
    <row r="215" spans="1:12" ht="15.75" thickTop="1">
      <c r="A215" s="8"/>
      <c r="B215" s="8"/>
      <c r="C215" s="8"/>
      <c r="D215" s="20"/>
      <c r="E215" s="20"/>
      <c r="F215" s="20"/>
      <c r="G215" s="20"/>
      <c r="H215" s="20"/>
      <c r="I215" s="20"/>
      <c r="J215" s="20"/>
      <c r="K215" s="8"/>
      <c r="L215" s="8"/>
    </row>
    <row r="216" spans="1:12">
      <c r="A216" s="8"/>
      <c r="B216" s="8"/>
      <c r="C216" s="8"/>
      <c r="D216" s="20"/>
      <c r="E216" s="20"/>
      <c r="F216" s="20"/>
      <c r="G216" s="20"/>
      <c r="H216" s="20"/>
      <c r="I216" s="20"/>
      <c r="J216" s="20"/>
      <c r="K216" s="8"/>
      <c r="L216" s="8"/>
    </row>
    <row r="217" spans="1:12">
      <c r="A217" s="8">
        <v>54</v>
      </c>
      <c r="B217" s="8" t="s">
        <v>49</v>
      </c>
      <c r="C217" s="8" t="s">
        <v>12</v>
      </c>
      <c r="D217" s="25">
        <v>8282.92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f>SUM(D217:I217)</f>
        <v>8282.92</v>
      </c>
      <c r="K217" s="8"/>
      <c r="L217" s="8"/>
    </row>
    <row r="218" spans="1:12" ht="15.75" hidden="1" thickBot="1">
      <c r="A218" s="8"/>
      <c r="B218" s="8"/>
      <c r="C218" s="8" t="s">
        <v>104</v>
      </c>
      <c r="D218" s="29"/>
      <c r="E218" s="29"/>
      <c r="F218" s="29"/>
      <c r="G218" s="29"/>
      <c r="H218" s="29"/>
      <c r="I218" s="29"/>
      <c r="J218" s="29">
        <f>SUM(D218:I218)</f>
        <v>0</v>
      </c>
      <c r="K218" s="8"/>
      <c r="L218" s="8"/>
    </row>
    <row r="219" spans="1:12">
      <c r="A219" s="8"/>
      <c r="B219" s="8"/>
      <c r="C219" s="8"/>
      <c r="D219" s="20"/>
      <c r="E219" s="20"/>
      <c r="F219" s="20"/>
      <c r="G219" s="20"/>
      <c r="H219" s="20"/>
      <c r="I219" s="20"/>
      <c r="J219" s="20"/>
      <c r="K219" s="8"/>
      <c r="L219" s="8"/>
    </row>
    <row r="220" spans="1:12" ht="15.75" thickBot="1">
      <c r="A220" s="8"/>
      <c r="B220" s="8"/>
      <c r="C220" s="8" t="s">
        <v>10</v>
      </c>
      <c r="D220" s="31">
        <f t="shared" ref="D220:I220" si="33">SUM(D217:D219)</f>
        <v>8282.92</v>
      </c>
      <c r="E220" s="31">
        <f t="shared" si="33"/>
        <v>0</v>
      </c>
      <c r="F220" s="31">
        <f t="shared" si="33"/>
        <v>0</v>
      </c>
      <c r="G220" s="31">
        <f t="shared" si="33"/>
        <v>0</v>
      </c>
      <c r="H220" s="31">
        <f t="shared" si="33"/>
        <v>0</v>
      </c>
      <c r="I220" s="31">
        <f t="shared" si="33"/>
        <v>0</v>
      </c>
      <c r="J220" s="31">
        <f>SUM(D220:I220)</f>
        <v>8282.92</v>
      </c>
      <c r="K220" s="8"/>
      <c r="L220" s="8"/>
    </row>
    <row r="221" spans="1:12" ht="15.75" thickTop="1">
      <c r="A221" s="8"/>
      <c r="B221" s="8"/>
      <c r="C221" s="8"/>
      <c r="D221" s="20"/>
      <c r="E221" s="20"/>
      <c r="F221" s="20"/>
      <c r="G221" s="20"/>
      <c r="H221" s="20"/>
      <c r="I221" s="20"/>
      <c r="J221" s="20"/>
      <c r="K221" s="8"/>
      <c r="L221" s="8"/>
    </row>
    <row r="222" spans="1:12">
      <c r="A222" s="8"/>
      <c r="B222" s="8"/>
      <c r="C222" s="8"/>
      <c r="D222" s="20"/>
      <c r="E222" s="20"/>
      <c r="F222" s="20"/>
      <c r="G222" s="20"/>
      <c r="H222" s="20"/>
      <c r="I222" s="20"/>
      <c r="J222" s="20"/>
      <c r="K222" s="8"/>
      <c r="L222" s="8"/>
    </row>
    <row r="223" spans="1:12">
      <c r="A223" s="8">
        <v>55</v>
      </c>
      <c r="B223" s="8" t="s">
        <v>50</v>
      </c>
      <c r="C223" s="8" t="s">
        <v>12</v>
      </c>
      <c r="D223" s="20">
        <v>55096.01</v>
      </c>
      <c r="E223" s="20">
        <v>423.46</v>
      </c>
      <c r="F223" s="20">
        <v>276.62</v>
      </c>
      <c r="G223" s="20">
        <v>0</v>
      </c>
      <c r="H223" s="20">
        <v>0</v>
      </c>
      <c r="I223" s="20">
        <v>0</v>
      </c>
      <c r="J223" s="20">
        <f>SUM(D223:I223)</f>
        <v>55796.090000000004</v>
      </c>
      <c r="K223" s="8"/>
      <c r="L223" s="8"/>
    </row>
    <row r="224" spans="1:12" ht="15.75" thickBot="1">
      <c r="A224" s="8"/>
      <c r="B224" s="8"/>
      <c r="C224" s="8" t="s">
        <v>13</v>
      </c>
      <c r="D224" s="29">
        <v>581.57000000000005</v>
      </c>
      <c r="E224" s="29">
        <v>5.0599999999999996</v>
      </c>
      <c r="F224" s="29">
        <v>3.53</v>
      </c>
      <c r="G224" s="29">
        <v>0</v>
      </c>
      <c r="H224" s="29">
        <v>0</v>
      </c>
      <c r="I224" s="29">
        <v>0</v>
      </c>
      <c r="J224" s="29">
        <f>SUM(D224:I224)</f>
        <v>590.16</v>
      </c>
      <c r="K224" s="8"/>
      <c r="L224" s="8"/>
    </row>
    <row r="225" spans="1:12">
      <c r="A225" s="8"/>
      <c r="B225" s="8"/>
      <c r="C225" s="8"/>
      <c r="D225" s="20"/>
      <c r="E225" s="20"/>
      <c r="F225" s="20"/>
      <c r="G225" s="20"/>
      <c r="H225" s="20"/>
      <c r="I225" s="20"/>
      <c r="J225" s="20"/>
      <c r="K225" s="8"/>
      <c r="L225" s="8"/>
    </row>
    <row r="226" spans="1:12" ht="15.75" thickBot="1">
      <c r="A226" s="8"/>
      <c r="B226" s="8"/>
      <c r="C226" s="8" t="s">
        <v>10</v>
      </c>
      <c r="D226" s="31">
        <f t="shared" ref="D226:I226" si="34">SUM(D223:D224)</f>
        <v>55677.58</v>
      </c>
      <c r="E226" s="31">
        <f t="shared" si="34"/>
        <v>428.52</v>
      </c>
      <c r="F226" s="31">
        <f t="shared" si="34"/>
        <v>280.14999999999998</v>
      </c>
      <c r="G226" s="31">
        <f t="shared" si="34"/>
        <v>0</v>
      </c>
      <c r="H226" s="31">
        <f t="shared" si="34"/>
        <v>0</v>
      </c>
      <c r="I226" s="31">
        <f t="shared" si="34"/>
        <v>0</v>
      </c>
      <c r="J226" s="31">
        <f>SUM(D226:I226)</f>
        <v>56386.25</v>
      </c>
      <c r="K226" s="8"/>
      <c r="L226" s="8"/>
    </row>
    <row r="227" spans="1:12" ht="15.75" thickTop="1">
      <c r="A227" s="8"/>
      <c r="B227" s="8"/>
      <c r="C227" s="8"/>
      <c r="D227" s="20"/>
      <c r="E227" s="20"/>
      <c r="F227" s="20"/>
      <c r="G227" s="20"/>
      <c r="H227" s="20"/>
      <c r="I227" s="20"/>
      <c r="J227" s="20"/>
      <c r="K227" s="8"/>
      <c r="L227" s="8"/>
    </row>
    <row r="228" spans="1:12">
      <c r="A228" s="8"/>
      <c r="B228" s="8"/>
      <c r="C228" s="8"/>
      <c r="D228" s="20"/>
      <c r="E228" s="20"/>
      <c r="F228" s="20"/>
      <c r="G228" s="20"/>
      <c r="H228" s="20"/>
      <c r="I228" s="20"/>
      <c r="J228" s="20"/>
      <c r="K228" s="8"/>
      <c r="L228" s="8"/>
    </row>
    <row r="229" spans="1:12">
      <c r="A229" s="8">
        <v>56</v>
      </c>
      <c r="B229" s="8" t="s">
        <v>51</v>
      </c>
      <c r="C229" s="8" t="s">
        <v>12</v>
      </c>
      <c r="D229" s="20">
        <v>26515.91</v>
      </c>
      <c r="E229" s="20">
        <v>275.52999999999997</v>
      </c>
      <c r="F229" s="20">
        <v>41.09</v>
      </c>
      <c r="G229" s="20">
        <v>0</v>
      </c>
      <c r="H229" s="20">
        <v>0</v>
      </c>
      <c r="I229" s="20">
        <v>0</v>
      </c>
      <c r="J229" s="20">
        <f>SUM(D229:I229)</f>
        <v>26832.53</v>
      </c>
      <c r="K229" s="8"/>
      <c r="L229" s="8"/>
    </row>
    <row r="230" spans="1:12" ht="15.75" thickBot="1">
      <c r="A230" s="8"/>
      <c r="B230" s="8"/>
      <c r="C230" s="8" t="s">
        <v>13</v>
      </c>
      <c r="D230" s="29">
        <v>1473.11</v>
      </c>
      <c r="E230" s="29">
        <v>2.91</v>
      </c>
      <c r="F230" s="29">
        <v>0.6</v>
      </c>
      <c r="G230" s="29">
        <v>0</v>
      </c>
      <c r="H230" s="29">
        <v>0</v>
      </c>
      <c r="I230" s="29">
        <v>0</v>
      </c>
      <c r="J230" s="29">
        <f>SUM(D230:I230)</f>
        <v>1476.62</v>
      </c>
      <c r="K230" s="8"/>
      <c r="L230" s="8"/>
    </row>
    <row r="231" spans="1:12">
      <c r="A231" s="8"/>
      <c r="B231" s="8"/>
      <c r="C231" s="8"/>
      <c r="D231" s="20"/>
      <c r="E231" s="20"/>
      <c r="F231" s="20"/>
      <c r="G231" s="20"/>
      <c r="H231" s="20"/>
      <c r="I231" s="20"/>
      <c r="J231" s="20"/>
      <c r="K231" s="8"/>
      <c r="L231" s="8"/>
    </row>
    <row r="232" spans="1:12" ht="15.75" thickBot="1">
      <c r="A232" s="8"/>
      <c r="B232" s="8"/>
      <c r="C232" s="8" t="s">
        <v>10</v>
      </c>
      <c r="D232" s="31">
        <f t="shared" ref="D232:I232" si="35">SUM(D229:D230)</f>
        <v>27989.02</v>
      </c>
      <c r="E232" s="31">
        <f t="shared" si="35"/>
        <v>278.44</v>
      </c>
      <c r="F232" s="31">
        <f t="shared" si="35"/>
        <v>41.690000000000005</v>
      </c>
      <c r="G232" s="31">
        <f t="shared" si="35"/>
        <v>0</v>
      </c>
      <c r="H232" s="31">
        <f t="shared" si="35"/>
        <v>0</v>
      </c>
      <c r="I232" s="31">
        <f t="shared" si="35"/>
        <v>0</v>
      </c>
      <c r="J232" s="31">
        <f>SUM(D232:I232)</f>
        <v>28309.149999999998</v>
      </c>
      <c r="K232" s="8"/>
      <c r="L232" s="8"/>
    </row>
    <row r="233" spans="1:12" ht="15.75" thickTop="1">
      <c r="A233" s="8"/>
      <c r="B233" s="8"/>
      <c r="C233" s="8"/>
      <c r="D233" s="20"/>
      <c r="E233" s="20"/>
      <c r="F233" s="20"/>
      <c r="G233" s="20"/>
      <c r="H233" s="20"/>
      <c r="I233" s="20"/>
      <c r="J233" s="20"/>
      <c r="K233" s="8"/>
      <c r="L233" s="8"/>
    </row>
    <row r="234" spans="1:12">
      <c r="A234" s="8"/>
      <c r="B234" s="8"/>
      <c r="C234" s="8"/>
      <c r="D234" s="20"/>
      <c r="E234" s="20"/>
      <c r="F234" s="20"/>
      <c r="G234" s="20"/>
      <c r="H234" s="20"/>
      <c r="I234" s="20"/>
      <c r="J234" s="20"/>
      <c r="K234" s="8"/>
      <c r="L234" s="8"/>
    </row>
    <row r="235" spans="1:12">
      <c r="A235" s="8">
        <v>57</v>
      </c>
      <c r="B235" s="8" t="s">
        <v>52</v>
      </c>
      <c r="C235" s="8" t="s">
        <v>12</v>
      </c>
      <c r="D235" s="20">
        <v>28480.83</v>
      </c>
      <c r="E235" s="20">
        <v>25.27</v>
      </c>
      <c r="F235" s="20">
        <v>15.13</v>
      </c>
      <c r="G235" s="20">
        <v>0</v>
      </c>
      <c r="H235" s="20">
        <v>0</v>
      </c>
      <c r="I235" s="20">
        <v>0</v>
      </c>
      <c r="J235" s="20">
        <f>SUM(D235:I235)</f>
        <v>28521.230000000003</v>
      </c>
      <c r="K235" s="8"/>
      <c r="L235" s="8"/>
    </row>
    <row r="236" spans="1:12" hidden="1">
      <c r="A236" s="8"/>
      <c r="B236" s="8"/>
      <c r="C236" s="38" t="s">
        <v>13</v>
      </c>
      <c r="D236" s="20"/>
      <c r="E236" s="20"/>
      <c r="F236" s="20"/>
      <c r="G236" s="20">
        <v>0</v>
      </c>
      <c r="H236" s="20">
        <v>0</v>
      </c>
      <c r="I236" s="20">
        <v>0</v>
      </c>
      <c r="J236" s="20">
        <f t="shared" ref="J236:J237" si="36">SUM(D236:I236)</f>
        <v>0</v>
      </c>
      <c r="K236" s="8"/>
      <c r="L236" s="8"/>
    </row>
    <row r="237" spans="1:12" ht="15.75" thickBot="1">
      <c r="A237" s="8"/>
      <c r="B237" s="8"/>
      <c r="C237" s="38" t="s">
        <v>13</v>
      </c>
      <c r="D237" s="29">
        <v>592.37</v>
      </c>
      <c r="E237" s="29">
        <v>0.61</v>
      </c>
      <c r="F237" s="29">
        <v>0.39</v>
      </c>
      <c r="G237" s="29">
        <v>0</v>
      </c>
      <c r="H237" s="29">
        <v>0</v>
      </c>
      <c r="I237" s="29">
        <v>0</v>
      </c>
      <c r="J237" s="29">
        <f t="shared" si="36"/>
        <v>593.37</v>
      </c>
      <c r="K237" s="8"/>
      <c r="L237" s="8"/>
    </row>
    <row r="238" spans="1:12" ht="15.75" hidden="1" thickBot="1">
      <c r="A238" s="8"/>
      <c r="B238" s="8"/>
      <c r="C238" s="38" t="s">
        <v>109</v>
      </c>
      <c r="D238" s="29">
        <v>0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29">
        <f>SUM(D238:I238)</f>
        <v>0</v>
      </c>
      <c r="K238" s="8"/>
      <c r="L238" s="8"/>
    </row>
    <row r="239" spans="1:12">
      <c r="A239" s="8"/>
      <c r="B239" s="8"/>
      <c r="C239" s="8"/>
      <c r="D239" s="20"/>
      <c r="E239" s="20"/>
      <c r="F239" s="20"/>
      <c r="G239" s="20"/>
      <c r="H239" s="20"/>
      <c r="I239" s="20"/>
      <c r="J239" s="20"/>
      <c r="K239" s="8"/>
      <c r="L239" s="8"/>
    </row>
    <row r="240" spans="1:12" ht="15.75" thickBot="1">
      <c r="A240" s="8"/>
      <c r="B240" s="8"/>
      <c r="C240" s="8" t="s">
        <v>10</v>
      </c>
      <c r="D240" s="31">
        <f t="shared" ref="D240:I240" si="37">SUM(D235:D238)</f>
        <v>29073.200000000001</v>
      </c>
      <c r="E240" s="31">
        <f t="shared" si="37"/>
        <v>25.88</v>
      </c>
      <c r="F240" s="31">
        <f t="shared" si="37"/>
        <v>15.520000000000001</v>
      </c>
      <c r="G240" s="31">
        <f t="shared" si="37"/>
        <v>0</v>
      </c>
      <c r="H240" s="31">
        <f t="shared" si="37"/>
        <v>0</v>
      </c>
      <c r="I240" s="31">
        <f t="shared" si="37"/>
        <v>0</v>
      </c>
      <c r="J240" s="31">
        <f>SUM(D240:I240)</f>
        <v>29114.600000000002</v>
      </c>
      <c r="K240" s="8"/>
      <c r="L240" s="8"/>
    </row>
    <row r="241" spans="1:12" ht="15.75" thickTop="1">
      <c r="A241" s="8"/>
      <c r="B241" s="8"/>
      <c r="C241" s="8"/>
      <c r="D241" s="20"/>
      <c r="E241" s="20"/>
      <c r="F241" s="20"/>
      <c r="G241" s="20"/>
      <c r="H241" s="20"/>
      <c r="I241" s="20"/>
      <c r="J241" s="20"/>
      <c r="K241" s="8"/>
      <c r="L241" s="8"/>
    </row>
    <row r="242" spans="1:12">
      <c r="A242" s="8"/>
      <c r="B242" s="8"/>
      <c r="C242" s="8"/>
      <c r="D242" s="20"/>
      <c r="E242" s="20"/>
      <c r="F242" s="20"/>
      <c r="G242" s="20"/>
      <c r="H242" s="20"/>
      <c r="I242" s="20"/>
      <c r="J242" s="20"/>
      <c r="K242" s="8"/>
      <c r="L242" s="8"/>
    </row>
    <row r="243" spans="1:12">
      <c r="A243" s="8">
        <v>58</v>
      </c>
      <c r="B243" s="8" t="s">
        <v>53</v>
      </c>
      <c r="C243" s="8" t="s">
        <v>12</v>
      </c>
      <c r="D243" s="20">
        <v>15611.59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f>SUM(D243:I243)</f>
        <v>15611.59</v>
      </c>
      <c r="K243" s="8"/>
      <c r="L243" s="8"/>
    </row>
    <row r="244" spans="1:12" ht="15.75" thickBot="1">
      <c r="A244" s="8"/>
      <c r="B244" s="8"/>
      <c r="C244" s="38" t="s">
        <v>116</v>
      </c>
      <c r="D244" s="29">
        <v>25027.51</v>
      </c>
      <c r="E244" s="29">
        <v>0</v>
      </c>
      <c r="F244" s="29">
        <v>0</v>
      </c>
      <c r="G244" s="29"/>
      <c r="H244" s="29"/>
      <c r="I244" s="29"/>
      <c r="J244" s="29">
        <v>0</v>
      </c>
      <c r="K244" s="8"/>
      <c r="L244" s="8"/>
    </row>
    <row r="245" spans="1:12">
      <c r="A245" s="8"/>
      <c r="B245" s="8"/>
      <c r="C245" s="8"/>
      <c r="D245" s="20"/>
      <c r="E245" s="20"/>
      <c r="F245" s="20"/>
      <c r="G245" s="20"/>
      <c r="H245" s="20"/>
      <c r="I245" s="20"/>
      <c r="J245" s="20"/>
      <c r="K245" s="8"/>
      <c r="L245" s="8"/>
    </row>
    <row r="246" spans="1:12" ht="15.75" thickBot="1">
      <c r="A246" s="8"/>
      <c r="B246" s="8"/>
      <c r="C246" s="8" t="s">
        <v>10</v>
      </c>
      <c r="D246" s="31">
        <f t="shared" ref="D246:I246" si="38">SUM(D243:D244)</f>
        <v>40639.1</v>
      </c>
      <c r="E246" s="31">
        <f t="shared" si="38"/>
        <v>0</v>
      </c>
      <c r="F246" s="31">
        <f t="shared" si="38"/>
        <v>0</v>
      </c>
      <c r="G246" s="31">
        <f t="shared" si="38"/>
        <v>0</v>
      </c>
      <c r="H246" s="31">
        <f t="shared" si="38"/>
        <v>0</v>
      </c>
      <c r="I246" s="31">
        <f t="shared" si="38"/>
        <v>0</v>
      </c>
      <c r="J246" s="31">
        <f>SUM(D246:I246)</f>
        <v>40639.1</v>
      </c>
      <c r="K246" s="8"/>
      <c r="L246" s="8"/>
    </row>
    <row r="247" spans="1:12" ht="15.75" thickTop="1">
      <c r="A247" s="8"/>
      <c r="B247" s="8"/>
      <c r="C247" s="8"/>
      <c r="D247" s="20"/>
      <c r="E247" s="20"/>
      <c r="F247" s="20"/>
      <c r="G247" s="20"/>
      <c r="H247" s="20"/>
      <c r="I247" s="20"/>
      <c r="J247" s="20"/>
      <c r="K247" s="8"/>
      <c r="L247" s="8"/>
    </row>
    <row r="248" spans="1:12">
      <c r="A248" s="8"/>
      <c r="B248" s="8"/>
      <c r="C248" s="8"/>
      <c r="D248" s="20"/>
      <c r="E248" s="20"/>
      <c r="F248" s="20"/>
      <c r="G248" s="20"/>
      <c r="H248" s="20"/>
      <c r="I248" s="20"/>
      <c r="J248" s="20"/>
      <c r="K248" s="8"/>
      <c r="L248" s="8"/>
    </row>
    <row r="249" spans="1:12">
      <c r="A249" s="8">
        <v>59</v>
      </c>
      <c r="B249" s="8" t="s">
        <v>54</v>
      </c>
      <c r="C249" s="8" t="s">
        <v>12</v>
      </c>
      <c r="D249" s="20">
        <v>25609.25</v>
      </c>
      <c r="E249" s="20">
        <v>339.08</v>
      </c>
      <c r="F249" s="20">
        <v>72.3</v>
      </c>
      <c r="G249" s="20">
        <v>0</v>
      </c>
      <c r="H249" s="20">
        <v>0</v>
      </c>
      <c r="I249" s="20">
        <v>0</v>
      </c>
      <c r="J249" s="20">
        <f>SUM(D249:I249)</f>
        <v>26020.63</v>
      </c>
      <c r="K249" s="8"/>
      <c r="L249" s="8"/>
    </row>
    <row r="250" spans="1:12" ht="15.75" thickBot="1">
      <c r="A250" s="8"/>
      <c r="B250" s="8"/>
      <c r="C250" s="8"/>
      <c r="D250" s="29"/>
      <c r="E250" s="29"/>
      <c r="F250" s="29"/>
      <c r="G250" s="29">
        <v>0</v>
      </c>
      <c r="H250" s="29">
        <v>0</v>
      </c>
      <c r="I250" s="29">
        <v>0</v>
      </c>
      <c r="J250" s="29">
        <f>SUM(D250:I250)</f>
        <v>0</v>
      </c>
      <c r="K250" s="8"/>
      <c r="L250" s="8"/>
    </row>
    <row r="251" spans="1:12">
      <c r="A251" s="8"/>
      <c r="B251" s="8"/>
      <c r="C251" s="8"/>
      <c r="D251" s="20"/>
      <c r="E251" s="20"/>
      <c r="F251" s="20"/>
      <c r="G251" s="20"/>
      <c r="H251" s="20"/>
      <c r="I251" s="20"/>
      <c r="J251" s="20"/>
      <c r="K251" s="8"/>
      <c r="L251" s="8"/>
    </row>
    <row r="252" spans="1:12" ht="15.75" thickBot="1">
      <c r="A252" s="8"/>
      <c r="B252" s="8"/>
      <c r="C252" s="8" t="s">
        <v>10</v>
      </c>
      <c r="D252" s="31">
        <f t="shared" ref="D252:I252" si="39">SUM(D249:D250)</f>
        <v>25609.25</v>
      </c>
      <c r="E252" s="31">
        <f t="shared" si="39"/>
        <v>339.08</v>
      </c>
      <c r="F252" s="31">
        <f t="shared" si="39"/>
        <v>72.3</v>
      </c>
      <c r="G252" s="31">
        <f t="shared" si="39"/>
        <v>0</v>
      </c>
      <c r="H252" s="31">
        <f t="shared" si="39"/>
        <v>0</v>
      </c>
      <c r="I252" s="31">
        <f t="shared" si="39"/>
        <v>0</v>
      </c>
      <c r="J252" s="31">
        <f>SUM(D252:I252)</f>
        <v>26020.63</v>
      </c>
      <c r="K252" s="8"/>
      <c r="L252" s="8"/>
    </row>
    <row r="253" spans="1:12" ht="15.75" thickTop="1">
      <c r="A253" s="8"/>
      <c r="B253" s="8"/>
      <c r="C253" s="8"/>
      <c r="D253" s="20"/>
      <c r="E253" s="20"/>
      <c r="F253" s="20"/>
      <c r="G253" s="20"/>
      <c r="H253" s="20"/>
      <c r="I253" s="20"/>
      <c r="J253" s="20"/>
      <c r="K253" s="8"/>
      <c r="L253" s="8"/>
    </row>
    <row r="254" spans="1:12">
      <c r="A254" s="8"/>
      <c r="B254" s="8"/>
      <c r="C254" s="8"/>
      <c r="D254" s="20"/>
      <c r="E254" s="20"/>
      <c r="F254" s="20"/>
      <c r="G254" s="20"/>
      <c r="H254" s="20"/>
      <c r="I254" s="20"/>
      <c r="J254" s="20"/>
      <c r="K254" s="8"/>
      <c r="L254" s="8"/>
    </row>
    <row r="255" spans="1:12">
      <c r="A255" s="8">
        <v>60</v>
      </c>
      <c r="B255" s="8" t="s">
        <v>55</v>
      </c>
      <c r="C255" s="8" t="s">
        <v>12</v>
      </c>
      <c r="D255" s="20">
        <v>72352.160000000003</v>
      </c>
      <c r="E255" s="20">
        <v>1142.2</v>
      </c>
      <c r="F255" s="20">
        <v>25.16</v>
      </c>
      <c r="G255" s="20">
        <v>0</v>
      </c>
      <c r="H255" s="20">
        <v>0</v>
      </c>
      <c r="I255" s="20">
        <v>0</v>
      </c>
      <c r="J255" s="20">
        <f>SUM(D255:I255)</f>
        <v>73519.520000000004</v>
      </c>
      <c r="K255" s="8"/>
      <c r="L255" s="8"/>
    </row>
    <row r="256" spans="1:12" hidden="1">
      <c r="A256" s="8"/>
      <c r="B256" s="8"/>
      <c r="C256" s="38" t="s">
        <v>35</v>
      </c>
      <c r="D256" s="20"/>
      <c r="E256" s="20"/>
      <c r="F256" s="20"/>
      <c r="G256" s="20">
        <v>0</v>
      </c>
      <c r="H256" s="20">
        <v>0</v>
      </c>
      <c r="I256" s="20">
        <v>0</v>
      </c>
      <c r="J256" s="20">
        <f>SUM(D256:I256)</f>
        <v>0</v>
      </c>
      <c r="K256" s="8"/>
      <c r="L256" s="8"/>
    </row>
    <row r="257" spans="1:12" ht="15.75" thickBot="1">
      <c r="A257" s="8"/>
      <c r="B257" s="8"/>
      <c r="C257" s="8"/>
      <c r="D257" s="29"/>
      <c r="E257" s="29"/>
      <c r="F257" s="29"/>
      <c r="G257" s="29">
        <v>0</v>
      </c>
      <c r="H257" s="29">
        <v>0</v>
      </c>
      <c r="I257" s="29">
        <v>0</v>
      </c>
      <c r="J257" s="29">
        <f>SUM(D257:I257)</f>
        <v>0</v>
      </c>
      <c r="K257" s="8"/>
      <c r="L257" s="8"/>
    </row>
    <row r="258" spans="1:12" hidden="1">
      <c r="A258" s="8"/>
      <c r="B258" s="8"/>
      <c r="C258" s="8" t="s">
        <v>98</v>
      </c>
      <c r="D258" s="25">
        <v>0</v>
      </c>
      <c r="E258" s="25">
        <v>0</v>
      </c>
      <c r="F258" s="25">
        <v>0</v>
      </c>
      <c r="G258" s="25">
        <v>0</v>
      </c>
      <c r="H258" s="25">
        <v>0</v>
      </c>
      <c r="I258" s="25">
        <v>0</v>
      </c>
      <c r="J258" s="25">
        <f>SUM(D258:I258)</f>
        <v>0</v>
      </c>
      <c r="K258" s="8"/>
      <c r="L258" s="8"/>
    </row>
    <row r="259" spans="1:12">
      <c r="A259" s="8"/>
      <c r="B259" s="8"/>
      <c r="C259" s="8"/>
      <c r="D259" s="20"/>
      <c r="E259" s="20"/>
      <c r="F259" s="20"/>
      <c r="G259" s="20"/>
      <c r="H259" s="20"/>
      <c r="I259" s="20"/>
      <c r="J259" s="20"/>
      <c r="K259" s="8"/>
      <c r="L259" s="8"/>
    </row>
    <row r="260" spans="1:12">
      <c r="A260" s="8"/>
      <c r="B260" s="8"/>
      <c r="C260" s="8"/>
      <c r="D260" s="20"/>
      <c r="E260" s="20"/>
      <c r="F260" s="20"/>
      <c r="G260" s="20"/>
      <c r="H260" s="20"/>
      <c r="I260" s="20"/>
      <c r="J260" s="20"/>
      <c r="K260" s="8"/>
      <c r="L260" s="8"/>
    </row>
    <row r="261" spans="1:12" ht="15.75" thickBot="1">
      <c r="A261" s="8"/>
      <c r="B261" s="8"/>
      <c r="C261" s="8" t="s">
        <v>10</v>
      </c>
      <c r="D261" s="31">
        <f t="shared" ref="D261:I261" si="40">SUM(D255:D260)</f>
        <v>72352.160000000003</v>
      </c>
      <c r="E261" s="31">
        <f t="shared" si="40"/>
        <v>1142.2</v>
      </c>
      <c r="F261" s="31">
        <f t="shared" si="40"/>
        <v>25.16</v>
      </c>
      <c r="G261" s="31">
        <f t="shared" si="40"/>
        <v>0</v>
      </c>
      <c r="H261" s="31">
        <f t="shared" si="40"/>
        <v>0</v>
      </c>
      <c r="I261" s="31">
        <f t="shared" si="40"/>
        <v>0</v>
      </c>
      <c r="J261" s="31">
        <f>SUM(D261:I261)</f>
        <v>73519.520000000004</v>
      </c>
      <c r="K261" s="8"/>
      <c r="L261" s="8"/>
    </row>
    <row r="262" spans="1:12" ht="15.75" thickTop="1">
      <c r="A262" s="8"/>
      <c r="B262" s="8"/>
      <c r="C262" s="8"/>
      <c r="D262" s="20"/>
      <c r="E262" s="20"/>
      <c r="F262" s="20"/>
      <c r="G262" s="20"/>
      <c r="H262" s="20"/>
      <c r="I262" s="20"/>
      <c r="J262" s="20"/>
      <c r="K262" s="8"/>
      <c r="L262" s="8"/>
    </row>
    <row r="263" spans="1:12">
      <c r="A263" s="8"/>
      <c r="B263" s="8"/>
      <c r="C263" s="8"/>
      <c r="D263" s="20"/>
      <c r="E263" s="20"/>
      <c r="F263" s="20"/>
      <c r="G263" s="20"/>
      <c r="H263" s="20"/>
      <c r="I263" s="20"/>
      <c r="J263" s="20"/>
      <c r="K263" s="8"/>
      <c r="L263" s="8"/>
    </row>
    <row r="264" spans="1:12">
      <c r="A264" s="8">
        <v>61</v>
      </c>
      <c r="B264" s="8" t="s">
        <v>56</v>
      </c>
      <c r="C264" s="8" t="s">
        <v>12</v>
      </c>
      <c r="D264" s="39">
        <v>9721.23</v>
      </c>
      <c r="E264" s="20">
        <v>5.1100000000000003</v>
      </c>
      <c r="F264" s="20">
        <v>1.34</v>
      </c>
      <c r="G264" s="20">
        <v>0</v>
      </c>
      <c r="H264" s="20">
        <v>0</v>
      </c>
      <c r="I264" s="20">
        <v>0</v>
      </c>
      <c r="J264" s="20">
        <f>SUM(D264:I264)</f>
        <v>9727.68</v>
      </c>
      <c r="K264" s="8"/>
      <c r="L264" s="8"/>
    </row>
    <row r="265" spans="1:12" ht="15.75" thickBot="1">
      <c r="A265" s="8"/>
      <c r="B265" s="8"/>
      <c r="C265" s="8" t="s">
        <v>13</v>
      </c>
      <c r="D265" s="29">
        <v>1813.67</v>
      </c>
      <c r="E265" s="29">
        <v>7.0000000000000007E-2</v>
      </c>
      <c r="F265" s="29">
        <v>0.03</v>
      </c>
      <c r="G265" s="29">
        <v>0</v>
      </c>
      <c r="H265" s="29">
        <v>0</v>
      </c>
      <c r="I265" s="29">
        <v>0</v>
      </c>
      <c r="J265" s="29">
        <f>SUM(D265:I265)</f>
        <v>1813.77</v>
      </c>
      <c r="K265" s="8"/>
      <c r="L265" s="8"/>
    </row>
    <row r="266" spans="1:12" ht="15.75" hidden="1" thickBot="1">
      <c r="A266" s="8"/>
      <c r="B266" s="8"/>
      <c r="C266" s="8" t="s">
        <v>99</v>
      </c>
      <c r="D266" s="29">
        <v>0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29">
        <f>SUM(D266:I266)</f>
        <v>0</v>
      </c>
      <c r="K266" s="8"/>
      <c r="L266" s="8"/>
    </row>
    <row r="267" spans="1:12">
      <c r="A267" s="8"/>
      <c r="B267" s="8"/>
      <c r="C267" s="8"/>
      <c r="D267" s="20"/>
      <c r="E267" s="20"/>
      <c r="F267" s="20"/>
      <c r="G267" s="20"/>
      <c r="H267" s="20"/>
      <c r="I267" s="20"/>
      <c r="J267" s="20"/>
      <c r="K267" s="8"/>
      <c r="L267" s="8"/>
    </row>
    <row r="268" spans="1:12" ht="15.75" thickBot="1">
      <c r="A268" s="8"/>
      <c r="B268" s="8"/>
      <c r="C268" s="8" t="s">
        <v>10</v>
      </c>
      <c r="D268" s="31">
        <f>SUM(D264:D266)</f>
        <v>11534.9</v>
      </c>
      <c r="E268" s="31">
        <f t="shared" ref="E268:J268" si="41">SUM(E264:E266)</f>
        <v>5.1800000000000006</v>
      </c>
      <c r="F268" s="31">
        <f t="shared" si="41"/>
        <v>1.37</v>
      </c>
      <c r="G268" s="31">
        <f t="shared" si="41"/>
        <v>0</v>
      </c>
      <c r="H268" s="31">
        <f t="shared" si="41"/>
        <v>0</v>
      </c>
      <c r="I268" s="31">
        <f t="shared" si="41"/>
        <v>0</v>
      </c>
      <c r="J268" s="31">
        <f t="shared" si="41"/>
        <v>11541.45</v>
      </c>
      <c r="K268" s="8"/>
      <c r="L268" s="8"/>
    </row>
    <row r="269" spans="1:12" ht="15.75" thickTop="1">
      <c r="A269" s="8"/>
      <c r="B269" s="8"/>
      <c r="C269" s="8"/>
      <c r="D269" s="20"/>
      <c r="E269" s="20"/>
      <c r="F269" s="20"/>
      <c r="G269" s="20"/>
      <c r="H269" s="20"/>
      <c r="I269" s="20"/>
      <c r="J269" s="20"/>
      <c r="K269" s="8"/>
      <c r="L269" s="8"/>
    </row>
    <row r="270" spans="1:12">
      <c r="A270" s="8"/>
      <c r="B270" s="8"/>
      <c r="C270" s="8"/>
      <c r="D270" s="20"/>
      <c r="E270" s="20"/>
      <c r="F270" s="20"/>
      <c r="G270" s="20"/>
      <c r="H270" s="20"/>
      <c r="I270" s="20"/>
      <c r="J270" s="20"/>
      <c r="K270" s="8"/>
      <c r="L270" s="8"/>
    </row>
    <row r="271" spans="1:12">
      <c r="A271" s="8">
        <v>62</v>
      </c>
      <c r="B271" s="8" t="s">
        <v>57</v>
      </c>
      <c r="C271" s="8" t="s">
        <v>12</v>
      </c>
      <c r="D271" s="20">
        <v>7069.04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f>SUM(D271:I271)</f>
        <v>7069.04</v>
      </c>
      <c r="K271" s="8"/>
      <c r="L271" s="8"/>
    </row>
    <row r="272" spans="1:12" ht="15.75" thickBot="1">
      <c r="A272" s="8"/>
      <c r="B272" s="8"/>
      <c r="C272" s="8" t="s">
        <v>13</v>
      </c>
      <c r="D272" s="29">
        <v>1087.54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29">
        <f>SUM(D272:I272)</f>
        <v>1087.54</v>
      </c>
      <c r="K272" s="8"/>
      <c r="L272" s="8"/>
    </row>
    <row r="273" spans="1:12">
      <c r="A273" s="8"/>
      <c r="B273" s="8"/>
      <c r="C273" s="8"/>
      <c r="D273" s="20"/>
      <c r="E273" s="20"/>
      <c r="F273" s="20"/>
      <c r="G273" s="20"/>
      <c r="H273" s="20"/>
      <c r="I273" s="20"/>
      <c r="J273" s="20"/>
      <c r="K273" s="8"/>
      <c r="L273" s="8"/>
    </row>
    <row r="274" spans="1:12" ht="15.75" thickBot="1">
      <c r="A274" s="8"/>
      <c r="B274" s="8"/>
      <c r="C274" s="8" t="s">
        <v>10</v>
      </c>
      <c r="D274" s="31">
        <f t="shared" ref="D274:I274" si="42">SUM(D271:D272)</f>
        <v>8156.58</v>
      </c>
      <c r="E274" s="31">
        <f t="shared" si="42"/>
        <v>0</v>
      </c>
      <c r="F274" s="31">
        <f t="shared" si="42"/>
        <v>0</v>
      </c>
      <c r="G274" s="31">
        <f t="shared" si="42"/>
        <v>0</v>
      </c>
      <c r="H274" s="31">
        <f t="shared" si="42"/>
        <v>0</v>
      </c>
      <c r="I274" s="31">
        <f t="shared" si="42"/>
        <v>0</v>
      </c>
      <c r="J274" s="31">
        <f>SUM(D274:I274)</f>
        <v>8156.58</v>
      </c>
      <c r="K274" s="8"/>
      <c r="L274" s="8"/>
    </row>
    <row r="275" spans="1:12" ht="15.75" thickTop="1">
      <c r="A275" s="8"/>
      <c r="B275" s="8"/>
      <c r="C275" s="8"/>
      <c r="D275" s="20"/>
      <c r="E275" s="20"/>
      <c r="F275" s="20"/>
      <c r="G275" s="20"/>
      <c r="H275" s="20"/>
      <c r="I275" s="20"/>
      <c r="J275" s="20"/>
      <c r="K275" s="8"/>
      <c r="L275" s="8"/>
    </row>
    <row r="276" spans="1:12">
      <c r="A276" s="8"/>
      <c r="B276" s="8"/>
      <c r="C276" s="8"/>
      <c r="D276" s="20"/>
      <c r="E276" s="20"/>
      <c r="F276" s="20"/>
      <c r="G276" s="20"/>
      <c r="H276" s="20"/>
      <c r="I276" s="20"/>
      <c r="J276" s="20"/>
      <c r="K276" s="8"/>
      <c r="L276" s="8"/>
    </row>
    <row r="277" spans="1:12">
      <c r="A277" s="8">
        <v>63</v>
      </c>
      <c r="B277" s="8" t="s">
        <v>58</v>
      </c>
      <c r="C277" s="8" t="s">
        <v>12</v>
      </c>
      <c r="D277" s="20">
        <v>13066.79</v>
      </c>
      <c r="E277" s="20">
        <v>61.75</v>
      </c>
      <c r="F277" s="20">
        <v>0</v>
      </c>
      <c r="G277" s="20">
        <v>0</v>
      </c>
      <c r="H277" s="20">
        <v>0</v>
      </c>
      <c r="I277" s="20">
        <v>0</v>
      </c>
      <c r="J277" s="20">
        <f>SUM(D277:I277)</f>
        <v>13128.54</v>
      </c>
      <c r="K277" s="8"/>
      <c r="L277" s="8"/>
    </row>
    <row r="278" spans="1:12" ht="15.75" thickBot="1">
      <c r="A278" s="8"/>
      <c r="B278" s="8"/>
      <c r="C278" s="8" t="s">
        <v>13</v>
      </c>
      <c r="D278" s="29">
        <v>457.56</v>
      </c>
      <c r="E278" s="29">
        <v>2.0299999999999998</v>
      </c>
      <c r="F278" s="29">
        <v>0</v>
      </c>
      <c r="G278" s="29">
        <v>0</v>
      </c>
      <c r="H278" s="29">
        <v>0</v>
      </c>
      <c r="I278" s="29">
        <v>0</v>
      </c>
      <c r="J278" s="29">
        <f>SUM(D278:I278)</f>
        <v>459.59</v>
      </c>
      <c r="K278" s="8"/>
      <c r="L278" s="8"/>
    </row>
    <row r="279" spans="1:12">
      <c r="A279" s="8"/>
      <c r="B279" s="8"/>
      <c r="C279" s="8"/>
      <c r="D279" s="20"/>
      <c r="E279" s="20"/>
      <c r="F279" s="20"/>
      <c r="G279" s="20"/>
      <c r="H279" s="20"/>
      <c r="I279" s="20"/>
      <c r="J279" s="20"/>
      <c r="K279" s="8"/>
      <c r="L279" s="8"/>
    </row>
    <row r="280" spans="1:12" ht="15.75" thickBot="1">
      <c r="A280" s="8"/>
      <c r="B280" s="8"/>
      <c r="C280" s="8" t="s">
        <v>10</v>
      </c>
      <c r="D280" s="31">
        <f t="shared" ref="D280:I280" si="43">SUM(D277:D278)</f>
        <v>13524.35</v>
      </c>
      <c r="E280" s="31">
        <f t="shared" si="43"/>
        <v>63.78</v>
      </c>
      <c r="F280" s="31">
        <f t="shared" si="43"/>
        <v>0</v>
      </c>
      <c r="G280" s="31">
        <f t="shared" si="43"/>
        <v>0</v>
      </c>
      <c r="H280" s="31">
        <f t="shared" si="43"/>
        <v>0</v>
      </c>
      <c r="I280" s="31">
        <f t="shared" si="43"/>
        <v>0</v>
      </c>
      <c r="J280" s="31">
        <f>SUM(D280:I280)</f>
        <v>13588.130000000001</v>
      </c>
      <c r="K280" s="8"/>
      <c r="L280" s="8"/>
    </row>
    <row r="281" spans="1:12" ht="15.75" thickTop="1">
      <c r="A281" s="8"/>
      <c r="B281" s="8"/>
      <c r="C281" s="8"/>
      <c r="D281" s="20"/>
      <c r="E281" s="20"/>
      <c r="F281" s="20"/>
      <c r="G281" s="20"/>
      <c r="H281" s="20"/>
      <c r="I281" s="20"/>
      <c r="J281" s="20"/>
      <c r="K281" s="8"/>
      <c r="L281" s="8"/>
    </row>
    <row r="282" spans="1:12">
      <c r="A282" s="8"/>
      <c r="B282" s="8"/>
      <c r="C282" s="8"/>
      <c r="D282" s="20"/>
      <c r="E282" s="20"/>
      <c r="F282" s="20"/>
      <c r="G282" s="20"/>
      <c r="H282" s="20"/>
      <c r="I282" s="20"/>
      <c r="J282" s="20"/>
      <c r="K282" s="8"/>
      <c r="L282" s="8"/>
    </row>
    <row r="283" spans="1:12" ht="15.75" thickBot="1">
      <c r="A283" s="8">
        <v>64</v>
      </c>
      <c r="B283" s="8" t="s">
        <v>59</v>
      </c>
      <c r="C283" s="8" t="s">
        <v>12</v>
      </c>
      <c r="D283" s="50">
        <v>56351.41</v>
      </c>
      <c r="E283" s="29">
        <v>1075.46</v>
      </c>
      <c r="F283" s="29">
        <v>215.31</v>
      </c>
      <c r="G283" s="29">
        <v>0</v>
      </c>
      <c r="H283" s="29">
        <v>0</v>
      </c>
      <c r="I283" s="29">
        <v>0</v>
      </c>
      <c r="J283" s="29">
        <f>SUM(D283:I283)</f>
        <v>57642.18</v>
      </c>
      <c r="K283" s="8"/>
      <c r="L283" s="8"/>
    </row>
    <row r="284" spans="1:12">
      <c r="A284" s="8"/>
      <c r="B284" s="8"/>
      <c r="C284" s="8"/>
      <c r="D284" s="20"/>
      <c r="E284" s="20"/>
      <c r="F284" s="20"/>
      <c r="G284" s="20"/>
      <c r="H284" s="20"/>
      <c r="I284" s="20"/>
      <c r="J284" s="20"/>
      <c r="K284" s="8"/>
      <c r="L284" s="8"/>
    </row>
    <row r="285" spans="1:12" ht="15.75" thickBot="1">
      <c r="A285" s="8"/>
      <c r="B285" s="8"/>
      <c r="C285" s="8" t="s">
        <v>10</v>
      </c>
      <c r="D285" s="31">
        <f t="shared" ref="D285:I285" si="44">SUM(D283:D284)</f>
        <v>56351.41</v>
      </c>
      <c r="E285" s="31">
        <f t="shared" si="44"/>
        <v>1075.46</v>
      </c>
      <c r="F285" s="31">
        <f t="shared" si="44"/>
        <v>215.31</v>
      </c>
      <c r="G285" s="31">
        <f t="shared" si="44"/>
        <v>0</v>
      </c>
      <c r="H285" s="31">
        <f t="shared" si="44"/>
        <v>0</v>
      </c>
      <c r="I285" s="31">
        <f t="shared" si="44"/>
        <v>0</v>
      </c>
      <c r="J285" s="31">
        <f>SUM(D285:I285)</f>
        <v>57642.18</v>
      </c>
      <c r="K285" s="8"/>
      <c r="L285" s="8"/>
    </row>
    <row r="286" spans="1:12" ht="15.75" thickTop="1">
      <c r="A286" s="8"/>
      <c r="B286" s="8"/>
      <c r="C286" s="8"/>
      <c r="D286" s="20"/>
      <c r="E286" s="20"/>
      <c r="F286" s="20"/>
      <c r="G286" s="20"/>
      <c r="H286" s="20"/>
      <c r="I286" s="20"/>
      <c r="J286" s="20"/>
      <c r="K286" s="8"/>
      <c r="L286" s="8"/>
    </row>
    <row r="287" spans="1:12">
      <c r="A287" s="8"/>
      <c r="B287" s="12"/>
      <c r="C287" s="12"/>
      <c r="D287" s="36"/>
      <c r="E287" s="36"/>
      <c r="F287" s="36"/>
      <c r="G287" s="22"/>
      <c r="H287" s="22"/>
      <c r="I287" s="22"/>
      <c r="J287" s="20"/>
      <c r="K287" s="8"/>
      <c r="L287" s="8"/>
    </row>
    <row r="288" spans="1:12" ht="15.75" thickBot="1">
      <c r="A288" s="8">
        <v>65</v>
      </c>
      <c r="B288" s="8" t="s">
        <v>60</v>
      </c>
      <c r="C288" s="8" t="s">
        <v>12</v>
      </c>
      <c r="D288" s="29">
        <v>12430.37</v>
      </c>
      <c r="E288" s="29">
        <v>253.91</v>
      </c>
      <c r="F288" s="29">
        <v>11.88</v>
      </c>
      <c r="G288" s="29">
        <v>0</v>
      </c>
      <c r="H288" s="29">
        <v>0</v>
      </c>
      <c r="I288" s="29">
        <v>0</v>
      </c>
      <c r="J288" s="29">
        <f>SUM(D288:I288)</f>
        <v>12696.16</v>
      </c>
      <c r="K288" s="8"/>
      <c r="L288" s="8"/>
    </row>
    <row r="289" spans="1:12" ht="15.75" hidden="1" thickBot="1">
      <c r="A289" s="8"/>
      <c r="B289" s="8"/>
      <c r="C289" s="8" t="s">
        <v>13</v>
      </c>
      <c r="D289" s="29"/>
      <c r="E289" s="29"/>
      <c r="F289" s="29"/>
      <c r="G289" s="29"/>
      <c r="H289" s="29"/>
      <c r="I289" s="29"/>
      <c r="J289" s="29"/>
      <c r="K289" s="8"/>
      <c r="L289" s="8"/>
    </row>
    <row r="290" spans="1:12">
      <c r="A290" s="8"/>
      <c r="B290" s="8"/>
      <c r="C290" s="8"/>
      <c r="D290" s="20"/>
      <c r="E290" s="20"/>
      <c r="F290" s="20"/>
      <c r="G290" s="20"/>
      <c r="H290" s="20"/>
      <c r="I290" s="20"/>
      <c r="J290" s="20"/>
      <c r="K290" s="8"/>
      <c r="L290" s="8"/>
    </row>
    <row r="291" spans="1:12" ht="15.75" thickBot="1">
      <c r="A291" s="8"/>
      <c r="B291" s="8"/>
      <c r="C291" s="8" t="s">
        <v>10</v>
      </c>
      <c r="D291" s="31">
        <f t="shared" ref="D291:I291" si="45">SUM(D288:D289)</f>
        <v>12430.37</v>
      </c>
      <c r="E291" s="31">
        <f t="shared" si="45"/>
        <v>253.91</v>
      </c>
      <c r="F291" s="31">
        <f t="shared" si="45"/>
        <v>11.88</v>
      </c>
      <c r="G291" s="31">
        <f t="shared" si="45"/>
        <v>0</v>
      </c>
      <c r="H291" s="31">
        <f t="shared" si="45"/>
        <v>0</v>
      </c>
      <c r="I291" s="31">
        <f t="shared" si="45"/>
        <v>0</v>
      </c>
      <c r="J291" s="31">
        <f>SUM(D291:I291)</f>
        <v>12696.16</v>
      </c>
      <c r="K291" s="8"/>
      <c r="L291" s="8"/>
    </row>
    <row r="292" spans="1:12" ht="15.75" thickTop="1">
      <c r="A292" s="8"/>
      <c r="B292" s="8"/>
      <c r="C292" s="8"/>
      <c r="D292" s="20"/>
      <c r="E292" s="20"/>
      <c r="F292" s="20"/>
      <c r="G292" s="20"/>
      <c r="H292" s="20"/>
      <c r="I292" s="20"/>
      <c r="J292" s="20"/>
      <c r="K292" s="8"/>
      <c r="L292" s="8"/>
    </row>
    <row r="293" spans="1:12">
      <c r="A293" s="8"/>
      <c r="B293" s="8"/>
      <c r="C293" s="8"/>
      <c r="D293" s="20"/>
      <c r="E293" s="20"/>
      <c r="F293" s="20"/>
      <c r="G293" s="20"/>
      <c r="H293" s="20"/>
      <c r="I293" s="20"/>
      <c r="J293" s="20"/>
      <c r="K293" s="8"/>
      <c r="L293" s="8"/>
    </row>
    <row r="294" spans="1:12">
      <c r="A294" s="8">
        <v>66</v>
      </c>
      <c r="B294" s="8" t="s">
        <v>61</v>
      </c>
      <c r="C294" s="8" t="s">
        <v>12</v>
      </c>
      <c r="D294" s="20">
        <v>14497.21</v>
      </c>
      <c r="E294" s="20">
        <v>67.52</v>
      </c>
      <c r="F294" s="20">
        <v>0</v>
      </c>
      <c r="G294" s="20">
        <v>0</v>
      </c>
      <c r="H294" s="20">
        <v>0</v>
      </c>
      <c r="I294" s="20">
        <v>0</v>
      </c>
      <c r="J294" s="20">
        <f>SUM(D294:I294)</f>
        <v>14564.73</v>
      </c>
      <c r="K294" s="8"/>
      <c r="L294" s="8"/>
    </row>
    <row r="295" spans="1:12" hidden="1">
      <c r="A295" s="8"/>
      <c r="B295" s="8"/>
      <c r="C295" s="38" t="s">
        <v>35</v>
      </c>
      <c r="D295" s="20"/>
      <c r="E295" s="20"/>
      <c r="F295" s="20"/>
      <c r="G295" s="20">
        <v>0</v>
      </c>
      <c r="H295" s="20">
        <v>0</v>
      </c>
      <c r="I295" s="20">
        <v>0</v>
      </c>
      <c r="J295" s="20">
        <f>SUM(D295:I295)</f>
        <v>0</v>
      </c>
      <c r="K295" s="8"/>
      <c r="L295" s="8"/>
    </row>
    <row r="296" spans="1:12" hidden="1">
      <c r="A296" s="8"/>
      <c r="B296" s="8"/>
      <c r="C296" s="38" t="s">
        <v>73</v>
      </c>
      <c r="D296" s="20"/>
      <c r="E296" s="20"/>
      <c r="F296" s="20"/>
      <c r="G296" s="20">
        <v>0</v>
      </c>
      <c r="H296" s="20">
        <v>0</v>
      </c>
      <c r="I296" s="20">
        <v>0</v>
      </c>
      <c r="J296" s="20">
        <f>SUM(D296:I296)</f>
        <v>0</v>
      </c>
      <c r="K296" s="8"/>
      <c r="L296" s="8"/>
    </row>
    <row r="297" spans="1:12" ht="15.75" thickBot="1">
      <c r="A297" s="8"/>
      <c r="B297" s="8"/>
      <c r="C297" s="38"/>
      <c r="D297" s="29"/>
      <c r="E297" s="29"/>
      <c r="F297" s="29"/>
      <c r="G297" s="29">
        <v>0</v>
      </c>
      <c r="H297" s="29">
        <v>0</v>
      </c>
      <c r="I297" s="29">
        <v>0</v>
      </c>
      <c r="J297" s="29">
        <f>SUM(D297:I297)</f>
        <v>0</v>
      </c>
      <c r="K297" s="8"/>
      <c r="L297" s="8"/>
    </row>
    <row r="298" spans="1:12">
      <c r="A298" s="8"/>
      <c r="B298" s="8"/>
      <c r="C298" s="8"/>
      <c r="D298" s="20"/>
      <c r="E298" s="20"/>
      <c r="F298" s="20"/>
      <c r="G298" s="20"/>
      <c r="H298" s="20"/>
      <c r="I298" s="20"/>
      <c r="J298" s="20"/>
      <c r="K298" s="8"/>
      <c r="L298" s="8"/>
    </row>
    <row r="299" spans="1:12" ht="15.75" thickBot="1">
      <c r="A299" s="8"/>
      <c r="B299" s="8"/>
      <c r="C299" s="8" t="s">
        <v>10</v>
      </c>
      <c r="D299" s="31">
        <f t="shared" ref="D299:I299" si="46">SUM(D294:D297)</f>
        <v>14497.21</v>
      </c>
      <c r="E299" s="31">
        <f t="shared" si="46"/>
        <v>67.52</v>
      </c>
      <c r="F299" s="31">
        <f t="shared" si="46"/>
        <v>0</v>
      </c>
      <c r="G299" s="31">
        <f t="shared" si="46"/>
        <v>0</v>
      </c>
      <c r="H299" s="31">
        <f t="shared" si="46"/>
        <v>0</v>
      </c>
      <c r="I299" s="31">
        <f t="shared" si="46"/>
        <v>0</v>
      </c>
      <c r="J299" s="31">
        <f>SUM(D299:I299)</f>
        <v>14564.73</v>
      </c>
      <c r="K299" s="8"/>
      <c r="L299" s="8"/>
    </row>
    <row r="300" spans="1:12" ht="15.75" thickTop="1">
      <c r="A300" s="8"/>
      <c r="B300" s="8"/>
      <c r="C300" s="8"/>
      <c r="D300" s="20"/>
      <c r="E300" s="20"/>
      <c r="F300" s="20"/>
      <c r="G300" s="20"/>
      <c r="H300" s="20"/>
      <c r="I300" s="20"/>
      <c r="J300" s="20"/>
      <c r="K300" s="8"/>
      <c r="L300" s="8"/>
    </row>
    <row r="301" spans="1:12">
      <c r="A301" s="8"/>
      <c r="B301" s="8"/>
      <c r="C301" s="8"/>
      <c r="D301" s="20"/>
      <c r="E301" s="20"/>
      <c r="F301" s="20"/>
      <c r="G301" s="20"/>
      <c r="H301" s="20"/>
      <c r="I301" s="20"/>
      <c r="J301" s="20"/>
      <c r="K301" s="8"/>
      <c r="L301" s="8"/>
    </row>
    <row r="302" spans="1:12">
      <c r="A302" s="8">
        <v>67</v>
      </c>
      <c r="B302" s="8" t="s">
        <v>62</v>
      </c>
      <c r="C302" s="8" t="s">
        <v>12</v>
      </c>
      <c r="D302" s="20">
        <v>32197.56</v>
      </c>
      <c r="E302" s="20">
        <v>618.03</v>
      </c>
      <c r="F302" s="20">
        <v>0</v>
      </c>
      <c r="G302" s="20">
        <v>0</v>
      </c>
      <c r="H302" s="20">
        <v>0</v>
      </c>
      <c r="I302" s="20">
        <v>0</v>
      </c>
      <c r="J302" s="20">
        <f>SUM(D302:I302)</f>
        <v>32815.590000000004</v>
      </c>
      <c r="K302" s="8"/>
      <c r="L302" s="8"/>
    </row>
    <row r="303" spans="1:12" ht="15.75" thickBot="1">
      <c r="A303" s="8"/>
      <c r="B303" s="8"/>
      <c r="C303" s="8" t="s">
        <v>13</v>
      </c>
      <c r="D303" s="29">
        <v>436.97</v>
      </c>
      <c r="E303" s="29">
        <v>10.38</v>
      </c>
      <c r="F303" s="29">
        <v>0</v>
      </c>
      <c r="G303" s="29">
        <v>0</v>
      </c>
      <c r="H303" s="29">
        <v>0</v>
      </c>
      <c r="I303" s="29">
        <v>0</v>
      </c>
      <c r="J303" s="29">
        <f>SUM(D303:I303)</f>
        <v>447.35</v>
      </c>
      <c r="K303" s="8"/>
      <c r="L303" s="8"/>
    </row>
    <row r="304" spans="1:12">
      <c r="A304" s="8"/>
      <c r="B304" s="8"/>
      <c r="C304" s="8"/>
      <c r="D304" s="20"/>
      <c r="E304" s="20"/>
      <c r="F304" s="20"/>
      <c r="G304" s="20"/>
      <c r="H304" s="20"/>
      <c r="I304" s="20"/>
      <c r="J304" s="20"/>
      <c r="K304" s="8"/>
      <c r="L304" s="8"/>
    </row>
    <row r="305" spans="1:12" ht="15.75" thickBot="1">
      <c r="A305" s="8"/>
      <c r="B305" s="8"/>
      <c r="C305" s="8" t="s">
        <v>10</v>
      </c>
      <c r="D305" s="31">
        <f t="shared" ref="D305:I305" si="47">SUM(D302:D303)</f>
        <v>32634.530000000002</v>
      </c>
      <c r="E305" s="31">
        <f t="shared" si="47"/>
        <v>628.41</v>
      </c>
      <c r="F305" s="31">
        <f t="shared" si="47"/>
        <v>0</v>
      </c>
      <c r="G305" s="31">
        <f t="shared" si="47"/>
        <v>0</v>
      </c>
      <c r="H305" s="31">
        <f t="shared" si="47"/>
        <v>0</v>
      </c>
      <c r="I305" s="31">
        <f t="shared" si="47"/>
        <v>0</v>
      </c>
      <c r="J305" s="31">
        <f>SUM(D305:I305)</f>
        <v>33262.94</v>
      </c>
      <c r="K305" s="8"/>
      <c r="L305" s="8"/>
    </row>
    <row r="306" spans="1:12" ht="15.75" thickTop="1">
      <c r="A306" s="8"/>
      <c r="B306" s="8"/>
      <c r="C306" s="8"/>
      <c r="D306" s="20"/>
      <c r="E306" s="20"/>
      <c r="F306" s="20"/>
      <c r="G306" s="20"/>
      <c r="H306" s="20"/>
      <c r="I306" s="20"/>
      <c r="J306" s="20"/>
      <c r="K306" s="8"/>
      <c r="L306" s="8"/>
    </row>
    <row r="307" spans="1:12">
      <c r="A307" s="8"/>
      <c r="B307" s="8"/>
      <c r="C307" s="8"/>
      <c r="D307" s="20"/>
      <c r="E307" s="20"/>
      <c r="F307" s="20"/>
      <c r="G307" s="20"/>
      <c r="H307" s="20"/>
      <c r="I307" s="20"/>
      <c r="J307" s="20"/>
      <c r="K307" s="8"/>
      <c r="L307" s="8"/>
    </row>
    <row r="308" spans="1:12">
      <c r="A308" s="8">
        <v>68</v>
      </c>
      <c r="B308" s="8" t="s">
        <v>63</v>
      </c>
      <c r="C308" s="8" t="s">
        <v>12</v>
      </c>
      <c r="D308" s="25">
        <v>9813.17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f>SUM(D308:I308)</f>
        <v>9813.17</v>
      </c>
      <c r="K308" s="8"/>
      <c r="L308" s="8"/>
    </row>
    <row r="309" spans="1:12" ht="15.75" hidden="1" thickBot="1">
      <c r="A309" s="8"/>
      <c r="B309" s="8"/>
      <c r="C309" s="8" t="s">
        <v>13</v>
      </c>
      <c r="D309" s="29"/>
      <c r="E309" s="29"/>
      <c r="F309" s="29"/>
      <c r="G309" s="29"/>
      <c r="H309" s="29"/>
      <c r="I309" s="29"/>
      <c r="J309" s="29"/>
      <c r="K309" s="8"/>
      <c r="L309" s="8"/>
    </row>
    <row r="310" spans="1:12">
      <c r="A310" s="8"/>
      <c r="B310" s="8"/>
      <c r="C310" s="8"/>
      <c r="D310" s="20"/>
      <c r="E310" s="20"/>
      <c r="F310" s="20"/>
      <c r="G310" s="20"/>
      <c r="H310" s="20"/>
      <c r="I310" s="20"/>
      <c r="J310" s="20"/>
      <c r="K310" s="8"/>
      <c r="L310" s="8"/>
    </row>
    <row r="311" spans="1:12" ht="15.75" thickBot="1">
      <c r="A311" s="8"/>
      <c r="B311" s="8"/>
      <c r="C311" s="8" t="s">
        <v>10</v>
      </c>
      <c r="D311" s="31">
        <f t="shared" ref="D311:I311" si="48">SUM(D308:D309)</f>
        <v>9813.17</v>
      </c>
      <c r="E311" s="31">
        <f t="shared" si="48"/>
        <v>0</v>
      </c>
      <c r="F311" s="31">
        <f t="shared" si="48"/>
        <v>0</v>
      </c>
      <c r="G311" s="31">
        <f t="shared" si="48"/>
        <v>0</v>
      </c>
      <c r="H311" s="31">
        <f t="shared" si="48"/>
        <v>0</v>
      </c>
      <c r="I311" s="31">
        <f t="shared" si="48"/>
        <v>0</v>
      </c>
      <c r="J311" s="31">
        <f>SUM(D311:I311)</f>
        <v>9813.17</v>
      </c>
      <c r="K311" s="8"/>
      <c r="L311" s="8"/>
    </row>
    <row r="312" spans="1:12" ht="15.75" thickTop="1">
      <c r="A312" s="8"/>
      <c r="B312" s="8"/>
      <c r="C312" s="8"/>
      <c r="D312" s="20"/>
      <c r="E312" s="20"/>
      <c r="F312" s="20"/>
      <c r="G312" s="20"/>
      <c r="H312" s="20"/>
      <c r="I312" s="20"/>
      <c r="J312" s="20"/>
      <c r="K312" s="8"/>
      <c r="L312" s="8"/>
    </row>
    <row r="313" spans="1:12">
      <c r="A313" s="8"/>
      <c r="B313" s="8"/>
      <c r="C313" s="8"/>
      <c r="D313" s="20"/>
      <c r="E313" s="20"/>
      <c r="F313" s="20"/>
      <c r="G313" s="20"/>
      <c r="H313" s="20"/>
      <c r="I313" s="20"/>
      <c r="J313" s="20"/>
      <c r="K313" s="8"/>
      <c r="L313" s="8"/>
    </row>
    <row r="314" spans="1:12">
      <c r="A314" s="8">
        <v>69</v>
      </c>
      <c r="B314" s="8" t="s">
        <v>64</v>
      </c>
      <c r="C314" s="8" t="s">
        <v>12</v>
      </c>
      <c r="D314" s="25">
        <v>8032.86</v>
      </c>
      <c r="E314" s="25">
        <v>311.51</v>
      </c>
      <c r="F314" s="25">
        <v>1.24</v>
      </c>
      <c r="G314" s="25">
        <v>0</v>
      </c>
      <c r="H314" s="25">
        <v>0</v>
      </c>
      <c r="I314" s="25">
        <v>0</v>
      </c>
      <c r="J314" s="25">
        <f>SUM(D314:I314)</f>
        <v>8345.6099999999988</v>
      </c>
      <c r="K314" s="8"/>
      <c r="L314" s="8"/>
    </row>
    <row r="315" spans="1:12" ht="15.75" hidden="1" thickBot="1">
      <c r="A315" s="8"/>
      <c r="B315" s="8"/>
      <c r="C315" s="8" t="s">
        <v>13</v>
      </c>
      <c r="D315" s="29"/>
      <c r="E315" s="29"/>
      <c r="F315" s="29"/>
      <c r="G315" s="29"/>
      <c r="H315" s="29"/>
      <c r="I315" s="29"/>
      <c r="J315" s="29">
        <v>0</v>
      </c>
      <c r="K315" s="8"/>
      <c r="L315" s="8"/>
    </row>
    <row r="316" spans="1:12">
      <c r="A316" s="8"/>
      <c r="B316" s="8"/>
      <c r="C316" s="8"/>
      <c r="D316" s="20"/>
      <c r="E316" s="20"/>
      <c r="F316" s="20"/>
      <c r="G316" s="20"/>
      <c r="H316" s="20"/>
      <c r="I316" s="20"/>
      <c r="J316" s="20"/>
      <c r="K316" s="8"/>
      <c r="L316" s="8"/>
    </row>
    <row r="317" spans="1:12" ht="15.75" thickBot="1">
      <c r="A317" s="8"/>
      <c r="B317" s="8"/>
      <c r="C317" s="8" t="s">
        <v>10</v>
      </c>
      <c r="D317" s="31">
        <f t="shared" ref="D317:I317" si="49">SUM(D314:D315)</f>
        <v>8032.86</v>
      </c>
      <c r="E317" s="31">
        <f t="shared" si="49"/>
        <v>311.51</v>
      </c>
      <c r="F317" s="31">
        <f t="shared" si="49"/>
        <v>1.24</v>
      </c>
      <c r="G317" s="31">
        <f t="shared" si="49"/>
        <v>0</v>
      </c>
      <c r="H317" s="31">
        <f t="shared" si="49"/>
        <v>0</v>
      </c>
      <c r="I317" s="31">
        <f t="shared" si="49"/>
        <v>0</v>
      </c>
      <c r="J317" s="31">
        <f>SUM(D317:I317)</f>
        <v>8345.6099999999988</v>
      </c>
      <c r="K317" s="8"/>
      <c r="L317" s="8"/>
    </row>
    <row r="318" spans="1:12" ht="15.75" thickTop="1">
      <c r="A318" s="8"/>
      <c r="B318" s="8"/>
      <c r="C318" s="8"/>
      <c r="D318" s="20"/>
      <c r="E318" s="20"/>
      <c r="F318" s="20"/>
      <c r="G318" s="20"/>
      <c r="H318" s="20"/>
      <c r="I318" s="20"/>
      <c r="J318" s="20"/>
      <c r="K318" s="8"/>
      <c r="L318" s="8"/>
    </row>
    <row r="319" spans="1:12">
      <c r="A319" s="8"/>
      <c r="B319" s="8"/>
      <c r="C319" s="8"/>
      <c r="D319" s="20"/>
      <c r="E319" s="20"/>
      <c r="F319" s="20"/>
      <c r="G319" s="20"/>
      <c r="H319" s="20"/>
      <c r="I319" s="20"/>
      <c r="J319" s="20"/>
      <c r="K319" s="8"/>
      <c r="L319" s="8"/>
    </row>
    <row r="320" spans="1:12">
      <c r="A320" s="8">
        <v>70</v>
      </c>
      <c r="B320" s="8" t="s">
        <v>65</v>
      </c>
      <c r="C320" s="8" t="s">
        <v>12</v>
      </c>
      <c r="D320" s="25">
        <v>10382.5</v>
      </c>
      <c r="E320" s="25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f>SUM(D320:I320)</f>
        <v>10382.5</v>
      </c>
      <c r="K320" s="8"/>
      <c r="L320" s="8"/>
    </row>
    <row r="321" spans="1:12" ht="15.75" hidden="1" thickBot="1">
      <c r="A321" s="8"/>
      <c r="B321" s="8"/>
      <c r="C321" s="8" t="s">
        <v>78</v>
      </c>
      <c r="D321" s="29"/>
      <c r="E321" s="29"/>
      <c r="F321" s="29"/>
      <c r="G321" s="29"/>
      <c r="H321" s="29"/>
      <c r="I321" s="29"/>
      <c r="J321" s="29">
        <f>SUM(D321:I321)</f>
        <v>0</v>
      </c>
      <c r="K321" s="8"/>
      <c r="L321" s="8"/>
    </row>
    <row r="322" spans="1:12">
      <c r="A322" s="8"/>
      <c r="B322" s="8"/>
      <c r="C322" s="8"/>
      <c r="D322" s="20"/>
      <c r="E322" s="20"/>
      <c r="F322" s="20"/>
      <c r="G322" s="20"/>
      <c r="H322" s="20"/>
      <c r="I322" s="20"/>
      <c r="J322" s="20"/>
      <c r="K322" s="8"/>
      <c r="L322" s="8"/>
    </row>
    <row r="323" spans="1:12" ht="15.75" thickBot="1">
      <c r="A323" s="8"/>
      <c r="B323" s="8"/>
      <c r="C323" s="8" t="s">
        <v>10</v>
      </c>
      <c r="D323" s="31">
        <f t="shared" ref="D323:I323" si="50">SUM(D320:D322)</f>
        <v>10382.5</v>
      </c>
      <c r="E323" s="31">
        <f t="shared" si="50"/>
        <v>0</v>
      </c>
      <c r="F323" s="31">
        <f t="shared" si="50"/>
        <v>0</v>
      </c>
      <c r="G323" s="31">
        <f t="shared" si="50"/>
        <v>0</v>
      </c>
      <c r="H323" s="31">
        <f t="shared" si="50"/>
        <v>0</v>
      </c>
      <c r="I323" s="31">
        <f t="shared" si="50"/>
        <v>0</v>
      </c>
      <c r="J323" s="31">
        <f>SUM(D323:I323)</f>
        <v>10382.5</v>
      </c>
      <c r="K323" s="8"/>
      <c r="L323" s="8"/>
    </row>
    <row r="324" spans="1:12" ht="15.75" thickTop="1">
      <c r="A324" s="8"/>
      <c r="B324" s="8"/>
      <c r="C324" s="8"/>
      <c r="D324" s="20"/>
      <c r="E324" s="20"/>
      <c r="F324" s="20"/>
      <c r="G324" s="20"/>
      <c r="H324" s="20"/>
      <c r="I324" s="20"/>
      <c r="J324" s="20"/>
      <c r="K324" s="8"/>
      <c r="L324" s="8"/>
    </row>
    <row r="325" spans="1:12">
      <c r="A325" s="8"/>
      <c r="B325" s="8"/>
      <c r="C325" s="8" t="s">
        <v>66</v>
      </c>
      <c r="D325" s="20">
        <f t="shared" ref="D325:I325" si="51">SUM(D9:D323)/2</f>
        <v>883710.05000000028</v>
      </c>
      <c r="E325" s="20">
        <f t="shared" si="51"/>
        <v>11038.369999999997</v>
      </c>
      <c r="F325" s="20">
        <f t="shared" si="51"/>
        <v>1282.1499999999996</v>
      </c>
      <c r="G325" s="20">
        <f t="shared" si="51"/>
        <v>0</v>
      </c>
      <c r="H325" s="20">
        <f t="shared" si="51"/>
        <v>0</v>
      </c>
      <c r="I325" s="20">
        <f t="shared" si="51"/>
        <v>0</v>
      </c>
      <c r="J325" s="20">
        <f>SUM(D325:I325)</f>
        <v>896030.5700000003</v>
      </c>
      <c r="K325" s="8"/>
      <c r="L325" s="8"/>
    </row>
    <row r="326" spans="1:12">
      <c r="A326" s="8"/>
      <c r="B326" s="8"/>
      <c r="C326" s="8"/>
      <c r="D326" s="20"/>
      <c r="E326" s="20"/>
      <c r="F326" s="20"/>
      <c r="G326" s="20"/>
      <c r="H326" s="20"/>
      <c r="I326" s="20"/>
      <c r="J326" s="20"/>
      <c r="K326" s="8"/>
      <c r="L326" s="8"/>
    </row>
    <row r="327" spans="1:12">
      <c r="A327" s="8"/>
      <c r="B327" s="8"/>
      <c r="C327" s="8"/>
      <c r="D327" s="20"/>
      <c r="E327" s="20"/>
      <c r="F327" s="20"/>
      <c r="G327" s="20"/>
      <c r="H327" s="20"/>
      <c r="I327" s="20"/>
      <c r="J327" s="20"/>
      <c r="K327" s="8"/>
      <c r="L327" s="8"/>
    </row>
  </sheetData>
  <pageMargins left="0.25" right="0.25" top="0.25" bottom="0.25" header="0.5" footer="0.5"/>
  <pageSetup scale="70" fitToHeight="50" orientation="landscape" r:id="rId1"/>
  <headerFooter alignWithMargins="0"/>
  <rowBreaks count="51" manualBreakCount="51">
    <brk id="7" max="65535" man="1"/>
    <brk id="13" max="16383" man="1"/>
    <brk id="19" max="16383" man="1"/>
    <brk id="25" max="16383" man="1"/>
    <brk id="31" max="16383" man="1"/>
    <brk id="37" max="16383" man="1"/>
    <brk id="44" max="16383" man="1"/>
    <brk id="49" max="65535" man="1"/>
    <brk id="57" max="16383" man="1"/>
    <brk id="66" max="16383" man="1"/>
    <brk id="72" max="16383" man="1"/>
    <brk id="78" max="16383" man="1"/>
    <brk id="86" max="16383" man="1"/>
    <brk id="92" max="16383" man="1"/>
    <brk id="100" max="16383" man="1"/>
    <brk id="106" max="16383" man="1"/>
    <brk id="113" max="16383" man="1"/>
    <brk id="118" max="16383" man="1"/>
    <brk id="126" max="16383" man="1"/>
    <brk id="130" max="9" man="1"/>
    <brk id="136" max="16383" man="1"/>
    <brk id="143" max="16383" man="1"/>
    <brk id="149" max="16383" man="1"/>
    <brk id="157" max="16383" man="1"/>
    <brk id="162" max="9" man="1"/>
    <brk id="168" max="16383" man="1"/>
    <brk id="173" max="16383" man="1"/>
    <brk id="178" max="16383" man="1"/>
    <brk id="183" max="16383" man="1"/>
    <brk id="188" max="16383" man="1"/>
    <brk id="194" max="16383" man="1"/>
    <brk id="201" max="16383" man="1"/>
    <brk id="207" max="16383" man="1"/>
    <brk id="215" max="16383" man="1"/>
    <brk id="221" max="16383" man="1"/>
    <brk id="227" max="16383" man="1"/>
    <brk id="233" max="16383" man="1"/>
    <brk id="241" max="16383" man="1"/>
    <brk id="247" max="16383" man="1"/>
    <brk id="253" max="16383" man="1"/>
    <brk id="262" max="16383" man="1"/>
    <brk id="269" max="16383" man="1"/>
    <brk id="275" max="16383" man="1"/>
    <brk id="281" max="16383" man="1"/>
    <brk id="286" max="16383" man="1"/>
    <brk id="292" max="16383" man="1"/>
    <brk id="300" max="16383" man="1"/>
    <brk id="306" max="16383" man="1"/>
    <brk id="312" max="16383" man="1"/>
    <brk id="318" max="16383" man="1"/>
    <brk id="324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autoPageBreaks="0"/>
  </sheetPr>
  <dimension ref="A1:L327"/>
  <sheetViews>
    <sheetView showOutlineSymbols="0" defaultGridColor="0" view="pageBreakPreview" colorId="23" zoomScale="60" zoomScaleNormal="75" workbookViewId="0"/>
  </sheetViews>
  <sheetFormatPr defaultColWidth="9.6640625" defaultRowHeight="15"/>
  <cols>
    <col min="1" max="1" width="9.6640625" style="10" customWidth="1"/>
    <col min="2" max="2" width="27.44140625" style="10" bestFit="1" customWidth="1"/>
    <col min="3" max="3" width="24.44140625" style="10" bestFit="1" customWidth="1"/>
    <col min="4" max="5" width="12.77734375" style="23" customWidth="1"/>
    <col min="6" max="6" width="12.6640625" style="23" customWidth="1"/>
    <col min="7" max="8" width="11.6640625" style="23" hidden="1" customWidth="1"/>
    <col min="9" max="9" width="9.6640625" style="23" hidden="1" customWidth="1"/>
    <col min="10" max="10" width="14.44140625" style="23" customWidth="1"/>
    <col min="11" max="16384" width="9.6640625" style="10"/>
  </cols>
  <sheetData>
    <row r="1" spans="1:12">
      <c r="A1" s="8"/>
      <c r="B1" s="8"/>
      <c r="C1" s="8"/>
      <c r="D1" s="20"/>
      <c r="E1" s="20"/>
      <c r="F1" s="20"/>
      <c r="G1" s="20"/>
      <c r="H1" s="20"/>
      <c r="I1" s="21"/>
      <c r="J1" s="20"/>
      <c r="K1" s="8"/>
      <c r="L1" s="8"/>
    </row>
    <row r="2" spans="1:12">
      <c r="A2" s="8"/>
      <c r="B2" s="8"/>
      <c r="C2" s="8"/>
      <c r="D2" s="20"/>
      <c r="E2" s="20"/>
      <c r="F2" s="20"/>
      <c r="G2" s="20"/>
      <c r="H2" s="20"/>
      <c r="I2" s="20"/>
      <c r="J2" s="20"/>
      <c r="K2" s="8"/>
      <c r="L2" s="8"/>
    </row>
    <row r="3" spans="1:12">
      <c r="A3" s="8"/>
      <c r="B3" s="8"/>
      <c r="C3" s="8"/>
      <c r="D3" s="20"/>
      <c r="E3" s="20"/>
      <c r="F3" s="20"/>
      <c r="G3" s="20"/>
      <c r="H3" s="20"/>
      <c r="I3" s="20"/>
      <c r="J3" s="20"/>
      <c r="K3" s="8"/>
      <c r="L3" s="8"/>
    </row>
    <row r="4" spans="1:12" ht="15.75">
      <c r="A4" s="8"/>
      <c r="B4" s="11" t="s">
        <v>1</v>
      </c>
      <c r="C4" s="9"/>
      <c r="D4" s="21"/>
      <c r="E4" s="21"/>
      <c r="F4" s="21"/>
      <c r="G4" s="21"/>
      <c r="H4" s="21"/>
      <c r="I4" s="21"/>
      <c r="J4" s="21"/>
      <c r="K4" s="8"/>
      <c r="L4" s="8"/>
    </row>
    <row r="5" spans="1:12" ht="15.75">
      <c r="A5" s="8"/>
      <c r="B5" s="11" t="s">
        <v>125</v>
      </c>
      <c r="C5" s="9"/>
      <c r="D5" s="21"/>
      <c r="E5" s="21"/>
      <c r="F5" s="21"/>
      <c r="G5" s="21"/>
      <c r="H5" s="21"/>
      <c r="I5" s="21"/>
      <c r="J5" s="21"/>
      <c r="K5" s="8"/>
      <c r="L5" s="8"/>
    </row>
    <row r="6" spans="1:12">
      <c r="A6" s="8"/>
      <c r="B6" s="8"/>
      <c r="C6" s="8"/>
      <c r="D6" s="20"/>
      <c r="E6" s="20"/>
      <c r="F6" s="20"/>
      <c r="G6" s="20"/>
      <c r="H6" s="20"/>
      <c r="I6" s="20"/>
      <c r="J6" s="20"/>
      <c r="K6" s="8"/>
      <c r="L6" s="8"/>
    </row>
    <row r="7" spans="1:12">
      <c r="A7" s="8"/>
      <c r="B7" s="12" t="s">
        <v>3</v>
      </c>
      <c r="C7" s="12" t="s">
        <v>4</v>
      </c>
      <c r="D7" s="51" t="s">
        <v>126</v>
      </c>
      <c r="E7" s="51" t="s">
        <v>124</v>
      </c>
      <c r="F7" s="52" t="s">
        <v>120</v>
      </c>
      <c r="G7" s="22">
        <v>2011</v>
      </c>
      <c r="H7" s="22">
        <v>2010</v>
      </c>
      <c r="I7" s="49">
        <v>2009</v>
      </c>
      <c r="J7" s="22" t="s">
        <v>10</v>
      </c>
      <c r="K7" s="8"/>
      <c r="L7" s="8"/>
    </row>
    <row r="8" spans="1:12">
      <c r="A8" s="8"/>
      <c r="B8" s="8"/>
      <c r="C8" s="8"/>
      <c r="D8" s="20"/>
      <c r="E8" s="20"/>
      <c r="F8" s="20"/>
      <c r="G8" s="20"/>
      <c r="H8" s="20"/>
      <c r="I8" s="20"/>
      <c r="J8" s="20"/>
      <c r="K8" s="8"/>
      <c r="L8" s="8"/>
    </row>
    <row r="9" spans="1:12">
      <c r="A9" s="8">
        <v>21</v>
      </c>
      <c r="B9" s="8" t="s">
        <v>11</v>
      </c>
      <c r="C9" s="8" t="s">
        <v>12</v>
      </c>
      <c r="D9" s="20">
        <v>4986.8900000000003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f>SUM(D9:I9)</f>
        <v>4986.8900000000003</v>
      </c>
      <c r="K9" s="8"/>
      <c r="L9" s="8"/>
    </row>
    <row r="10" spans="1:12" ht="15.75" thickBot="1">
      <c r="A10" s="8"/>
      <c r="B10" s="8"/>
      <c r="C10" s="8" t="s">
        <v>13</v>
      </c>
      <c r="D10" s="29">
        <v>331.23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f>SUM(D10:I10)</f>
        <v>331.23</v>
      </c>
      <c r="K10" s="8"/>
      <c r="L10" s="8"/>
    </row>
    <row r="11" spans="1:12">
      <c r="A11" s="8"/>
      <c r="B11" s="8"/>
      <c r="C11" s="8"/>
      <c r="D11" s="20"/>
      <c r="E11" s="20"/>
      <c r="F11" s="20"/>
      <c r="G11" s="20"/>
      <c r="H11" s="20"/>
      <c r="I11" s="20"/>
      <c r="J11" s="20"/>
      <c r="K11" s="8"/>
      <c r="L11" s="8"/>
    </row>
    <row r="12" spans="1:12" ht="15.75" thickBot="1">
      <c r="A12" s="8"/>
      <c r="B12" s="8"/>
      <c r="C12" s="8" t="s">
        <v>10</v>
      </c>
      <c r="D12" s="31">
        <f t="shared" ref="D12:I12" si="0">SUM(D9:D10)</f>
        <v>5318.1200000000008</v>
      </c>
      <c r="E12" s="31">
        <f t="shared" si="0"/>
        <v>0</v>
      </c>
      <c r="F12" s="31">
        <f t="shared" si="0"/>
        <v>0</v>
      </c>
      <c r="G12" s="31">
        <f t="shared" si="0"/>
        <v>0</v>
      </c>
      <c r="H12" s="31">
        <f t="shared" si="0"/>
        <v>0</v>
      </c>
      <c r="I12" s="31">
        <f t="shared" si="0"/>
        <v>0</v>
      </c>
      <c r="J12" s="31">
        <f>SUM(D12:I12)</f>
        <v>5318.1200000000008</v>
      </c>
      <c r="K12" s="8"/>
      <c r="L12" s="8"/>
    </row>
    <row r="13" spans="1:12" ht="15.75" thickTop="1">
      <c r="A13" s="8"/>
      <c r="B13" s="8"/>
      <c r="C13" s="8"/>
      <c r="D13" s="20"/>
      <c r="E13" s="20"/>
      <c r="F13" s="20"/>
      <c r="G13" s="20"/>
      <c r="H13" s="20"/>
      <c r="I13" s="20"/>
      <c r="J13" s="20"/>
      <c r="K13" s="8"/>
      <c r="L13" s="8"/>
    </row>
    <row r="14" spans="1:12">
      <c r="A14" s="8"/>
      <c r="B14" s="8"/>
      <c r="C14" s="8"/>
      <c r="D14" s="20"/>
      <c r="E14" s="20"/>
      <c r="F14" s="20"/>
      <c r="G14" s="20"/>
      <c r="H14" s="20"/>
      <c r="I14" s="20"/>
      <c r="J14" s="20"/>
      <c r="K14" s="8"/>
      <c r="L14" s="8"/>
    </row>
    <row r="15" spans="1:12">
      <c r="A15" s="8">
        <v>22</v>
      </c>
      <c r="B15" s="8" t="s">
        <v>15</v>
      </c>
      <c r="C15" s="8" t="s">
        <v>12</v>
      </c>
      <c r="D15" s="20">
        <v>17343.2</v>
      </c>
      <c r="E15" s="20">
        <v>224.8</v>
      </c>
      <c r="F15" s="20">
        <v>83.79</v>
      </c>
      <c r="G15" s="20">
        <v>0</v>
      </c>
      <c r="H15" s="20">
        <v>0</v>
      </c>
      <c r="I15" s="20">
        <v>0</v>
      </c>
      <c r="J15" s="20">
        <f>SUM(D15:I15)</f>
        <v>17651.79</v>
      </c>
      <c r="K15" s="8"/>
      <c r="L15" s="8"/>
    </row>
    <row r="16" spans="1:12" ht="15.75" thickBot="1">
      <c r="A16" s="8"/>
      <c r="B16" s="8"/>
      <c r="C16" s="8" t="s">
        <v>13</v>
      </c>
      <c r="D16" s="29">
        <v>443.22</v>
      </c>
      <c r="E16" s="29">
        <v>6.24</v>
      </c>
      <c r="F16" s="29">
        <v>3.44</v>
      </c>
      <c r="G16" s="29">
        <v>0</v>
      </c>
      <c r="H16" s="29">
        <v>0</v>
      </c>
      <c r="I16" s="29">
        <v>0</v>
      </c>
      <c r="J16" s="29">
        <f>SUM(D16:I16)</f>
        <v>452.90000000000003</v>
      </c>
      <c r="K16" s="8"/>
      <c r="L16" s="8"/>
    </row>
    <row r="17" spans="1:12">
      <c r="A17" s="8"/>
      <c r="B17" s="8"/>
      <c r="C17" s="8"/>
      <c r="D17" s="20"/>
      <c r="E17" s="20"/>
      <c r="F17" s="20"/>
      <c r="G17" s="20"/>
      <c r="H17" s="20"/>
      <c r="I17" s="20"/>
      <c r="J17" s="20"/>
      <c r="K17" s="8"/>
      <c r="L17" s="8"/>
    </row>
    <row r="18" spans="1:12" ht="15.75" thickBot="1">
      <c r="A18" s="8"/>
      <c r="B18" s="8"/>
      <c r="C18" s="8" t="s">
        <v>10</v>
      </c>
      <c r="D18" s="31">
        <f t="shared" ref="D18:I18" si="1">SUM(D15:D16)</f>
        <v>17786.420000000002</v>
      </c>
      <c r="E18" s="31">
        <f t="shared" si="1"/>
        <v>231.04000000000002</v>
      </c>
      <c r="F18" s="31">
        <f t="shared" si="1"/>
        <v>87.23</v>
      </c>
      <c r="G18" s="31">
        <f t="shared" si="1"/>
        <v>0</v>
      </c>
      <c r="H18" s="31">
        <f t="shared" si="1"/>
        <v>0</v>
      </c>
      <c r="I18" s="31">
        <f t="shared" si="1"/>
        <v>0</v>
      </c>
      <c r="J18" s="31">
        <f>SUM(D18:I18)</f>
        <v>18104.690000000002</v>
      </c>
      <c r="K18" s="8"/>
      <c r="L18" s="8"/>
    </row>
    <row r="19" spans="1:12" ht="15.75" thickTop="1">
      <c r="A19" s="8"/>
      <c r="B19" s="8"/>
      <c r="C19" s="8"/>
      <c r="D19" s="20"/>
      <c r="E19" s="20"/>
      <c r="F19" s="20"/>
      <c r="G19" s="20"/>
      <c r="H19" s="20"/>
      <c r="I19" s="20"/>
      <c r="J19" s="20"/>
      <c r="K19" s="8"/>
      <c r="L19" s="8"/>
    </row>
    <row r="20" spans="1:12">
      <c r="A20" s="8"/>
      <c r="B20" s="8"/>
      <c r="C20" s="8"/>
      <c r="D20" s="20"/>
      <c r="E20" s="20"/>
      <c r="F20" s="20"/>
      <c r="G20" s="20"/>
      <c r="H20" s="20"/>
      <c r="I20" s="20"/>
      <c r="J20" s="20"/>
      <c r="K20" s="8"/>
      <c r="L20" s="8"/>
    </row>
    <row r="21" spans="1:12" ht="15.75" thickBot="1">
      <c r="A21" s="8">
        <v>23</v>
      </c>
      <c r="B21" s="8" t="s">
        <v>16</v>
      </c>
      <c r="C21" s="8" t="s">
        <v>12</v>
      </c>
      <c r="D21" s="29">
        <v>11951.74</v>
      </c>
      <c r="E21" s="50">
        <v>657.08</v>
      </c>
      <c r="F21" s="29">
        <v>128.02000000000001</v>
      </c>
      <c r="G21" s="29">
        <v>0</v>
      </c>
      <c r="H21" s="29">
        <v>0</v>
      </c>
      <c r="I21" s="29">
        <v>0</v>
      </c>
      <c r="J21" s="29">
        <f>SUM(D21:I21)</f>
        <v>12736.84</v>
      </c>
      <c r="K21" s="8"/>
      <c r="L21" s="8"/>
    </row>
    <row r="22" spans="1:12" ht="15.75" hidden="1" thickBot="1">
      <c r="A22" s="8"/>
      <c r="B22" s="8"/>
      <c r="C22" s="8" t="s">
        <v>13</v>
      </c>
      <c r="D22" s="29"/>
      <c r="E22" s="29"/>
      <c r="F22" s="29"/>
      <c r="G22" s="29"/>
      <c r="H22" s="29"/>
      <c r="I22" s="29"/>
      <c r="J22" s="29">
        <f>SUM(D22:I22)</f>
        <v>0</v>
      </c>
      <c r="K22" s="8"/>
      <c r="L22" s="8"/>
    </row>
    <row r="23" spans="1:12">
      <c r="A23" s="8"/>
      <c r="B23" s="8"/>
      <c r="C23" s="8"/>
      <c r="D23" s="20"/>
      <c r="E23" s="20"/>
      <c r="F23" s="20"/>
      <c r="G23" s="20"/>
      <c r="H23" s="20"/>
      <c r="I23" s="20"/>
      <c r="J23" s="20"/>
      <c r="K23" s="8"/>
      <c r="L23" s="8"/>
    </row>
    <row r="24" spans="1:12" ht="15.75" thickBot="1">
      <c r="A24" s="8"/>
      <c r="B24" s="8"/>
      <c r="C24" s="8" t="s">
        <v>10</v>
      </c>
      <c r="D24" s="31">
        <f t="shared" ref="D24:I24" si="2">SUM(D21:D22)</f>
        <v>11951.74</v>
      </c>
      <c r="E24" s="31">
        <f t="shared" si="2"/>
        <v>657.08</v>
      </c>
      <c r="F24" s="31">
        <f t="shared" si="2"/>
        <v>128.02000000000001</v>
      </c>
      <c r="G24" s="31">
        <f t="shared" si="2"/>
        <v>0</v>
      </c>
      <c r="H24" s="31">
        <f t="shared" si="2"/>
        <v>0</v>
      </c>
      <c r="I24" s="31">
        <f t="shared" si="2"/>
        <v>0</v>
      </c>
      <c r="J24" s="31">
        <f>SUM(D24:I24)</f>
        <v>12736.84</v>
      </c>
      <c r="K24" s="8"/>
      <c r="L24" s="8"/>
    </row>
    <row r="25" spans="1:12" ht="15.75" thickTop="1">
      <c r="A25" s="8"/>
      <c r="B25" s="8"/>
      <c r="C25" s="8"/>
      <c r="D25" s="20"/>
      <c r="E25" s="20"/>
      <c r="F25" s="20"/>
      <c r="G25" s="20"/>
      <c r="H25" s="20"/>
      <c r="I25" s="20"/>
      <c r="J25" s="20"/>
      <c r="K25" s="8"/>
      <c r="L25" s="8"/>
    </row>
    <row r="26" spans="1:12">
      <c r="A26" s="8"/>
      <c r="B26" s="8"/>
      <c r="C26" s="8"/>
      <c r="D26" s="20"/>
      <c r="E26" s="20"/>
      <c r="F26" s="20"/>
      <c r="G26" s="20"/>
      <c r="H26" s="20"/>
      <c r="I26" s="20"/>
      <c r="J26" s="20"/>
      <c r="K26" s="8"/>
      <c r="L26" s="8"/>
    </row>
    <row r="27" spans="1:12">
      <c r="A27" s="8"/>
      <c r="B27" s="8"/>
      <c r="C27" s="8"/>
      <c r="D27" s="20"/>
      <c r="E27" s="20"/>
      <c r="F27" s="20"/>
      <c r="G27" s="20"/>
      <c r="H27" s="20"/>
      <c r="I27" s="20"/>
      <c r="J27" s="20"/>
      <c r="K27" s="8"/>
      <c r="L27" s="8"/>
    </row>
    <row r="28" spans="1:12" ht="15.75" thickBot="1">
      <c r="A28" s="8">
        <v>24</v>
      </c>
      <c r="B28" s="8" t="s">
        <v>17</v>
      </c>
      <c r="C28" s="8" t="s">
        <v>12</v>
      </c>
      <c r="D28" s="29">
        <v>8193.84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f>SUM(D28:I28)</f>
        <v>8193.84</v>
      </c>
      <c r="K28" s="8"/>
      <c r="L28" s="8"/>
    </row>
    <row r="29" spans="1:12">
      <c r="A29" s="8"/>
      <c r="B29" s="8"/>
      <c r="C29" s="8"/>
      <c r="D29" s="20"/>
      <c r="E29" s="20"/>
      <c r="F29" s="20"/>
      <c r="G29" s="20"/>
      <c r="H29" s="20"/>
      <c r="I29" s="20"/>
      <c r="J29" s="20"/>
      <c r="K29" s="8"/>
      <c r="L29" s="8"/>
    </row>
    <row r="30" spans="1:12" ht="15.75" thickBot="1">
      <c r="A30" s="8"/>
      <c r="B30" s="8"/>
      <c r="C30" s="8" t="s">
        <v>10</v>
      </c>
      <c r="D30" s="31">
        <f t="shared" ref="D30:I30" si="3">SUM(D28:D29)</f>
        <v>8193.84</v>
      </c>
      <c r="E30" s="31">
        <f t="shared" si="3"/>
        <v>0</v>
      </c>
      <c r="F30" s="31">
        <f t="shared" si="3"/>
        <v>0</v>
      </c>
      <c r="G30" s="31">
        <f t="shared" si="3"/>
        <v>0</v>
      </c>
      <c r="H30" s="31">
        <f t="shared" si="3"/>
        <v>0</v>
      </c>
      <c r="I30" s="31">
        <f t="shared" si="3"/>
        <v>0</v>
      </c>
      <c r="J30" s="31">
        <f>SUM(D30:I30)</f>
        <v>8193.84</v>
      </c>
      <c r="K30" s="8"/>
      <c r="L30" s="8"/>
    </row>
    <row r="31" spans="1:12" ht="15.75" thickTop="1">
      <c r="A31" s="8"/>
      <c r="B31" s="8"/>
      <c r="C31" s="8"/>
      <c r="D31" s="20"/>
      <c r="E31" s="20"/>
      <c r="F31" s="20"/>
      <c r="G31" s="20"/>
      <c r="H31" s="20"/>
      <c r="I31" s="20"/>
      <c r="J31" s="20"/>
      <c r="K31" s="8"/>
      <c r="L31" s="8"/>
    </row>
    <row r="32" spans="1:12">
      <c r="A32" s="8"/>
      <c r="B32" s="8"/>
      <c r="C32" s="8"/>
      <c r="D32" s="20"/>
      <c r="E32" s="20"/>
      <c r="F32" s="20"/>
      <c r="G32" s="20"/>
      <c r="H32" s="20"/>
      <c r="I32" s="20"/>
      <c r="J32" s="20"/>
      <c r="K32" s="8"/>
      <c r="L32" s="8"/>
    </row>
    <row r="33" spans="1:12">
      <c r="A33" s="8"/>
      <c r="B33" s="8"/>
      <c r="C33" s="8"/>
      <c r="D33" s="20"/>
      <c r="E33" s="20"/>
      <c r="F33" s="20"/>
      <c r="G33" s="20"/>
      <c r="H33" s="20"/>
      <c r="I33" s="20"/>
      <c r="J33" s="20"/>
      <c r="K33" s="8"/>
      <c r="L33" s="8"/>
    </row>
    <row r="34" spans="1:12" ht="15.75" thickBot="1">
      <c r="A34" s="8">
        <v>25</v>
      </c>
      <c r="B34" s="8" t="s">
        <v>18</v>
      </c>
      <c r="C34" s="8" t="s">
        <v>12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f>SUM(D34:I34)</f>
        <v>0</v>
      </c>
      <c r="K34" s="8"/>
      <c r="L34" s="8"/>
    </row>
    <row r="35" spans="1:12">
      <c r="A35" s="8"/>
      <c r="B35" s="8"/>
      <c r="C35" s="8"/>
      <c r="D35" s="20"/>
      <c r="E35" s="20"/>
      <c r="F35" s="20"/>
      <c r="G35" s="20"/>
      <c r="H35" s="20"/>
      <c r="I35" s="20"/>
      <c r="J35" s="20"/>
      <c r="K35" s="8"/>
      <c r="L35" s="8"/>
    </row>
    <row r="36" spans="1:12" ht="15.75" thickBot="1">
      <c r="A36" s="8"/>
      <c r="B36" s="8"/>
      <c r="C36" s="8" t="s">
        <v>10</v>
      </c>
      <c r="D36" s="31">
        <f t="shared" ref="D36:I36" si="4">SUM(D34:D35)</f>
        <v>0</v>
      </c>
      <c r="E36" s="31">
        <f t="shared" si="4"/>
        <v>0</v>
      </c>
      <c r="F36" s="31">
        <f t="shared" si="4"/>
        <v>0</v>
      </c>
      <c r="G36" s="31">
        <f t="shared" si="4"/>
        <v>0</v>
      </c>
      <c r="H36" s="31">
        <f t="shared" si="4"/>
        <v>0</v>
      </c>
      <c r="I36" s="31">
        <f t="shared" si="4"/>
        <v>0</v>
      </c>
      <c r="J36" s="31">
        <f>SUM(D36:I36)</f>
        <v>0</v>
      </c>
      <c r="K36" s="8"/>
      <c r="L36" s="8"/>
    </row>
    <row r="37" spans="1:12" ht="15.75" thickTop="1">
      <c r="A37" s="8"/>
      <c r="B37" s="8"/>
      <c r="C37" s="8"/>
      <c r="D37" s="20"/>
      <c r="E37" s="20"/>
      <c r="F37" s="20"/>
      <c r="G37" s="20"/>
      <c r="H37" s="20"/>
      <c r="I37" s="20"/>
      <c r="J37" s="20"/>
      <c r="K37" s="8"/>
      <c r="L37" s="8"/>
    </row>
    <row r="38" spans="1:12">
      <c r="A38" s="8"/>
      <c r="B38" s="8"/>
      <c r="C38" s="8"/>
      <c r="D38" s="20"/>
      <c r="E38" s="20"/>
      <c r="F38" s="20"/>
      <c r="G38" s="20"/>
      <c r="H38" s="20"/>
      <c r="I38" s="20"/>
      <c r="J38" s="20"/>
      <c r="K38" s="8"/>
      <c r="L38" s="8"/>
    </row>
    <row r="39" spans="1:12">
      <c r="A39" s="8"/>
      <c r="B39" s="8"/>
      <c r="C39" s="8"/>
      <c r="D39" s="20"/>
      <c r="E39" s="20"/>
      <c r="F39" s="20"/>
      <c r="G39" s="20"/>
      <c r="H39" s="20"/>
      <c r="I39" s="20"/>
      <c r="J39" s="20"/>
      <c r="K39" s="8"/>
      <c r="L39" s="8"/>
    </row>
    <row r="40" spans="1:12" ht="15.75" thickBot="1">
      <c r="A40" s="8">
        <v>26</v>
      </c>
      <c r="B40" s="8" t="s">
        <v>19</v>
      </c>
      <c r="C40" s="8" t="s">
        <v>12</v>
      </c>
      <c r="D40" s="29">
        <v>13584.45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f>SUM(D40:I40)</f>
        <v>13584.45</v>
      </c>
      <c r="K40" s="8"/>
      <c r="L40" s="8"/>
    </row>
    <row r="41" spans="1:12" ht="15.75" hidden="1" thickBot="1">
      <c r="A41" s="8"/>
      <c r="B41" s="8"/>
      <c r="C41" s="8" t="s">
        <v>13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f>SUM(D41:I41)</f>
        <v>0</v>
      </c>
      <c r="K41" s="8"/>
      <c r="L41" s="8"/>
    </row>
    <row r="42" spans="1:12">
      <c r="A42" s="8"/>
      <c r="B42" s="8"/>
      <c r="C42" s="8"/>
      <c r="D42" s="20"/>
      <c r="E42" s="20"/>
      <c r="F42" s="20"/>
      <c r="G42" s="20"/>
      <c r="H42" s="20"/>
      <c r="I42" s="20"/>
      <c r="J42" s="20"/>
      <c r="K42" s="8"/>
      <c r="L42" s="8"/>
    </row>
    <row r="43" spans="1:12" ht="15.75" thickBot="1">
      <c r="A43" s="8"/>
      <c r="B43" s="8"/>
      <c r="C43" s="8" t="s">
        <v>10</v>
      </c>
      <c r="D43" s="31">
        <f t="shared" ref="D43:I43" si="5">SUM(D40:D41)</f>
        <v>13584.45</v>
      </c>
      <c r="E43" s="31">
        <f t="shared" si="5"/>
        <v>0</v>
      </c>
      <c r="F43" s="31">
        <f t="shared" si="5"/>
        <v>0</v>
      </c>
      <c r="G43" s="31">
        <f t="shared" si="5"/>
        <v>0</v>
      </c>
      <c r="H43" s="31">
        <f t="shared" si="5"/>
        <v>0</v>
      </c>
      <c r="I43" s="31">
        <f t="shared" si="5"/>
        <v>0</v>
      </c>
      <c r="J43" s="31">
        <f>SUM(D43:I43)</f>
        <v>13584.45</v>
      </c>
      <c r="K43" s="8"/>
      <c r="L43" s="8"/>
    </row>
    <row r="44" spans="1:12" ht="15.75" thickTop="1">
      <c r="A44" s="8"/>
      <c r="B44" s="8"/>
      <c r="C44" s="8"/>
      <c r="D44" s="20"/>
      <c r="E44" s="20"/>
      <c r="F44" s="20"/>
      <c r="G44" s="20"/>
      <c r="H44" s="20"/>
      <c r="I44" s="20"/>
      <c r="J44" s="20"/>
      <c r="K44" s="8"/>
      <c r="L44" s="8"/>
    </row>
    <row r="45" spans="1:12">
      <c r="A45" s="8"/>
      <c r="B45" s="8"/>
      <c r="C45" s="8"/>
      <c r="D45" s="20"/>
      <c r="E45" s="20"/>
      <c r="F45" s="20"/>
      <c r="G45" s="20"/>
      <c r="H45" s="20"/>
      <c r="I45" s="20"/>
      <c r="J45" s="20"/>
      <c r="K45" s="8"/>
      <c r="L45" s="8"/>
    </row>
    <row r="46" spans="1:12" ht="15.75" thickBot="1">
      <c r="A46" s="8">
        <v>27</v>
      </c>
      <c r="B46" s="8" t="s">
        <v>20</v>
      </c>
      <c r="C46" s="8" t="s">
        <v>12</v>
      </c>
      <c r="D46" s="29">
        <v>16698.310000000001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f>SUM(D46:I46)</f>
        <v>16698.310000000001</v>
      </c>
      <c r="K46" s="8"/>
      <c r="L46" s="8"/>
    </row>
    <row r="47" spans="1:12">
      <c r="A47" s="8"/>
      <c r="B47" s="8"/>
      <c r="C47" s="8"/>
      <c r="D47" s="20"/>
      <c r="E47" s="20"/>
      <c r="F47" s="20"/>
      <c r="G47" s="20"/>
      <c r="H47" s="20"/>
      <c r="I47" s="20"/>
      <c r="J47" s="20"/>
      <c r="K47" s="8"/>
      <c r="L47" s="8"/>
    </row>
    <row r="48" spans="1:12" ht="15.75" thickBot="1">
      <c r="A48" s="8"/>
      <c r="B48" s="8"/>
      <c r="C48" s="8" t="s">
        <v>10</v>
      </c>
      <c r="D48" s="31">
        <f t="shared" ref="D48:I48" si="6">SUM(D46:D47)</f>
        <v>16698.310000000001</v>
      </c>
      <c r="E48" s="31">
        <f t="shared" si="6"/>
        <v>0</v>
      </c>
      <c r="F48" s="31">
        <f t="shared" si="6"/>
        <v>0</v>
      </c>
      <c r="G48" s="31">
        <f t="shared" si="6"/>
        <v>0</v>
      </c>
      <c r="H48" s="31">
        <f t="shared" si="6"/>
        <v>0</v>
      </c>
      <c r="I48" s="31">
        <f t="shared" si="6"/>
        <v>0</v>
      </c>
      <c r="J48" s="31">
        <f>SUM(D48:I48)</f>
        <v>16698.310000000001</v>
      </c>
      <c r="K48" s="8"/>
      <c r="L48" s="8"/>
    </row>
    <row r="49" spans="1:12" ht="15.75" thickTop="1">
      <c r="A49" s="8"/>
      <c r="B49" s="8"/>
      <c r="C49" s="8"/>
      <c r="D49" s="20"/>
      <c r="E49" s="20"/>
      <c r="F49" s="20"/>
      <c r="G49" s="20"/>
      <c r="H49" s="20"/>
      <c r="I49" s="20"/>
      <c r="J49" s="20"/>
      <c r="K49" s="8"/>
      <c r="L49" s="8"/>
    </row>
    <row r="50" spans="1:12">
      <c r="A50" s="8"/>
      <c r="B50" s="8"/>
      <c r="C50" s="8"/>
      <c r="D50" s="20"/>
      <c r="E50" s="20"/>
      <c r="F50" s="20"/>
      <c r="G50" s="20"/>
      <c r="H50" s="20"/>
      <c r="I50" s="20"/>
      <c r="J50" s="20"/>
      <c r="K50" s="8"/>
      <c r="L50" s="8"/>
    </row>
    <row r="51" spans="1:12">
      <c r="A51" s="8"/>
      <c r="B51" s="8"/>
      <c r="C51" s="8"/>
      <c r="D51" s="20"/>
      <c r="E51" s="20"/>
      <c r="F51" s="20"/>
      <c r="G51" s="20"/>
      <c r="H51" s="20"/>
      <c r="I51" s="20"/>
      <c r="J51" s="20"/>
      <c r="K51" s="8"/>
      <c r="L51" s="8"/>
    </row>
    <row r="52" spans="1:12">
      <c r="A52" s="8"/>
      <c r="B52" s="8"/>
      <c r="C52" s="8"/>
      <c r="D52" s="20"/>
      <c r="E52" s="20"/>
      <c r="F52" s="20"/>
      <c r="G52" s="20"/>
      <c r="H52" s="20"/>
      <c r="I52" s="20"/>
      <c r="J52" s="20"/>
      <c r="K52" s="8"/>
      <c r="L52" s="8"/>
    </row>
    <row r="53" spans="1:12" ht="15.75" thickBot="1">
      <c r="A53" s="8">
        <v>28</v>
      </c>
      <c r="B53" s="8" t="s">
        <v>21</v>
      </c>
      <c r="C53" s="8" t="s">
        <v>12</v>
      </c>
      <c r="D53" s="29">
        <v>18712.29</v>
      </c>
      <c r="E53" s="29">
        <v>798.02</v>
      </c>
      <c r="F53" s="29">
        <v>0</v>
      </c>
      <c r="G53" s="29">
        <v>0</v>
      </c>
      <c r="H53" s="29">
        <v>0</v>
      </c>
      <c r="I53" s="29">
        <v>0</v>
      </c>
      <c r="J53" s="29">
        <f>SUM(D53:I53)</f>
        <v>19510.310000000001</v>
      </c>
      <c r="K53" s="8"/>
      <c r="L53" s="8"/>
    </row>
    <row r="54" spans="1:12" ht="15.75" hidden="1" thickBot="1">
      <c r="A54" s="8"/>
      <c r="B54" s="8"/>
      <c r="C54" s="8" t="s">
        <v>13</v>
      </c>
      <c r="D54" s="29"/>
      <c r="E54" s="29"/>
      <c r="F54" s="29"/>
      <c r="G54" s="29"/>
      <c r="H54" s="29"/>
      <c r="I54" s="29"/>
      <c r="J54" s="29">
        <f>SUM(D54:I54)</f>
        <v>0</v>
      </c>
      <c r="K54" s="8"/>
      <c r="L54" s="8"/>
    </row>
    <row r="55" spans="1:12">
      <c r="A55" s="8"/>
      <c r="B55" s="8"/>
      <c r="C55" s="8"/>
      <c r="D55" s="20"/>
      <c r="E55" s="20"/>
      <c r="F55" s="20"/>
      <c r="G55" s="20"/>
      <c r="H55" s="20"/>
      <c r="I55" s="20"/>
      <c r="J55" s="20"/>
      <c r="K55" s="8"/>
      <c r="L55" s="8"/>
    </row>
    <row r="56" spans="1:12" ht="15.75" thickBot="1">
      <c r="A56" s="8"/>
      <c r="B56" s="8"/>
      <c r="C56" s="8" t="s">
        <v>10</v>
      </c>
      <c r="D56" s="31">
        <f t="shared" ref="D56:I56" si="7">SUM(D53:D54)</f>
        <v>18712.29</v>
      </c>
      <c r="E56" s="31">
        <f t="shared" si="7"/>
        <v>798.02</v>
      </c>
      <c r="F56" s="31">
        <f t="shared" si="7"/>
        <v>0</v>
      </c>
      <c r="G56" s="31">
        <f t="shared" si="7"/>
        <v>0</v>
      </c>
      <c r="H56" s="31">
        <f t="shared" si="7"/>
        <v>0</v>
      </c>
      <c r="I56" s="31">
        <f t="shared" si="7"/>
        <v>0</v>
      </c>
      <c r="J56" s="31">
        <f>SUM(D56:I56)</f>
        <v>19510.310000000001</v>
      </c>
      <c r="K56" s="8"/>
      <c r="L56" s="8"/>
    </row>
    <row r="57" spans="1:12" ht="15.75" thickTop="1">
      <c r="A57" s="8"/>
      <c r="B57" s="8"/>
      <c r="C57" s="8"/>
      <c r="D57" s="20"/>
      <c r="E57" s="20"/>
      <c r="F57" s="20"/>
      <c r="G57" s="20"/>
      <c r="H57" s="20"/>
      <c r="I57" s="20"/>
      <c r="J57" s="20"/>
      <c r="K57" s="8"/>
      <c r="L57" s="8"/>
    </row>
    <row r="58" spans="1:12">
      <c r="A58" s="8"/>
      <c r="B58" s="8"/>
      <c r="C58" s="8"/>
      <c r="D58" s="20"/>
      <c r="E58" s="20"/>
      <c r="F58" s="20"/>
      <c r="G58" s="20"/>
      <c r="H58" s="20"/>
      <c r="I58" s="20"/>
      <c r="J58" s="20"/>
      <c r="K58" s="8"/>
      <c r="L58" s="8"/>
    </row>
    <row r="59" spans="1:12">
      <c r="A59" s="8">
        <v>29</v>
      </c>
      <c r="B59" s="8" t="s">
        <v>22</v>
      </c>
      <c r="C59" s="8" t="s">
        <v>12</v>
      </c>
      <c r="D59" s="20">
        <v>27704.57</v>
      </c>
      <c r="E59" s="20">
        <v>9.4</v>
      </c>
      <c r="F59" s="20">
        <v>0</v>
      </c>
      <c r="G59" s="20">
        <v>0</v>
      </c>
      <c r="H59" s="20">
        <v>0</v>
      </c>
      <c r="I59" s="20">
        <v>0</v>
      </c>
      <c r="J59" s="20">
        <f>SUM(D59:I59)</f>
        <v>27713.97</v>
      </c>
      <c r="K59" s="8"/>
      <c r="L59" s="8"/>
    </row>
    <row r="60" spans="1:12" hidden="1">
      <c r="A60" s="8"/>
      <c r="B60" s="8"/>
      <c r="C60" s="8" t="s">
        <v>35</v>
      </c>
      <c r="D60" s="20"/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f>SUM(D60:I60)</f>
        <v>0</v>
      </c>
      <c r="K60" s="8"/>
      <c r="L60" s="8"/>
    </row>
    <row r="61" spans="1:12">
      <c r="A61" s="8"/>
      <c r="B61" s="8"/>
      <c r="C61" s="8" t="s">
        <v>13</v>
      </c>
      <c r="D61" s="20">
        <v>708.01</v>
      </c>
      <c r="E61" s="20">
        <v>0.26</v>
      </c>
      <c r="F61" s="20">
        <v>0</v>
      </c>
      <c r="G61" s="20">
        <v>0</v>
      </c>
      <c r="H61" s="20">
        <v>0</v>
      </c>
      <c r="I61" s="20">
        <v>0</v>
      </c>
      <c r="J61" s="20">
        <f>SUM(D61:I61)</f>
        <v>708.27</v>
      </c>
      <c r="K61" s="8"/>
      <c r="L61" s="8"/>
    </row>
    <row r="62" spans="1:12" hidden="1">
      <c r="A62" s="8"/>
      <c r="B62" s="8"/>
      <c r="C62" s="8" t="s">
        <v>78</v>
      </c>
      <c r="D62" s="20"/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f>SUM(D62:I62)</f>
        <v>0</v>
      </c>
      <c r="K62" s="8"/>
      <c r="L62" s="8"/>
    </row>
    <row r="63" spans="1:12" ht="15.75" thickBot="1">
      <c r="A63" s="8"/>
      <c r="B63" s="8"/>
      <c r="C63" s="38" t="s">
        <v>114</v>
      </c>
      <c r="D63" s="29">
        <v>0</v>
      </c>
      <c r="E63" s="29">
        <v>4.01</v>
      </c>
      <c r="F63" s="29">
        <v>0</v>
      </c>
      <c r="G63" s="29">
        <v>0</v>
      </c>
      <c r="H63" s="29">
        <v>0</v>
      </c>
      <c r="I63" s="29">
        <v>0</v>
      </c>
      <c r="J63" s="29">
        <f>SUM(D63:I63)</f>
        <v>4.01</v>
      </c>
      <c r="K63" s="8"/>
      <c r="L63" s="8"/>
    </row>
    <row r="64" spans="1:12">
      <c r="A64" s="8"/>
      <c r="B64" s="8"/>
      <c r="C64" s="8"/>
      <c r="D64" s="20"/>
      <c r="E64" s="20"/>
      <c r="F64" s="20"/>
      <c r="G64" s="20"/>
      <c r="H64" s="20"/>
      <c r="I64" s="20"/>
      <c r="J64" s="20"/>
      <c r="K64" s="8"/>
      <c r="L64" s="8"/>
    </row>
    <row r="65" spans="1:12" ht="15.75" thickBot="1">
      <c r="A65" s="8"/>
      <c r="B65" s="8"/>
      <c r="C65" s="8" t="s">
        <v>10</v>
      </c>
      <c r="D65" s="31">
        <f t="shared" ref="D65:I65" si="8">SUM(D59:D63)</f>
        <v>28412.579999999998</v>
      </c>
      <c r="E65" s="31">
        <f t="shared" si="8"/>
        <v>13.67</v>
      </c>
      <c r="F65" s="31">
        <f t="shared" si="8"/>
        <v>0</v>
      </c>
      <c r="G65" s="31">
        <f t="shared" si="8"/>
        <v>0</v>
      </c>
      <c r="H65" s="31">
        <f t="shared" si="8"/>
        <v>0</v>
      </c>
      <c r="I65" s="31">
        <f t="shared" si="8"/>
        <v>0</v>
      </c>
      <c r="J65" s="31">
        <f>SUM(D65:I65)</f>
        <v>28426.249999999996</v>
      </c>
      <c r="K65" s="8"/>
      <c r="L65" s="8"/>
    </row>
    <row r="66" spans="1:12" ht="15.75" thickTop="1">
      <c r="A66" s="8"/>
      <c r="B66" s="8"/>
      <c r="C66" s="8"/>
      <c r="D66" s="20"/>
      <c r="E66" s="20"/>
      <c r="F66" s="20"/>
      <c r="G66" s="20"/>
      <c r="H66" s="20"/>
      <c r="I66" s="20"/>
      <c r="J66" s="20"/>
      <c r="K66" s="8"/>
      <c r="L66" s="8"/>
    </row>
    <row r="67" spans="1:12">
      <c r="A67" s="8"/>
      <c r="B67" s="8"/>
      <c r="C67" s="8"/>
      <c r="D67" s="20"/>
      <c r="E67" s="20"/>
      <c r="F67" s="20"/>
      <c r="G67" s="20"/>
      <c r="H67" s="20"/>
      <c r="I67" s="20"/>
      <c r="J67" s="20"/>
      <c r="K67" s="8"/>
      <c r="L67" s="8"/>
    </row>
    <row r="68" spans="1:12">
      <c r="A68" s="8">
        <v>30</v>
      </c>
      <c r="B68" s="8" t="s">
        <v>23</v>
      </c>
      <c r="C68" s="8" t="s">
        <v>12</v>
      </c>
      <c r="D68" s="20">
        <v>9965.66</v>
      </c>
      <c r="E68" s="20">
        <v>101.93</v>
      </c>
      <c r="F68" s="20">
        <v>63.88</v>
      </c>
      <c r="G68" s="20">
        <v>0</v>
      </c>
      <c r="H68" s="20">
        <v>0</v>
      </c>
      <c r="I68" s="20">
        <v>0</v>
      </c>
      <c r="J68" s="20">
        <f>SUM(D68:I68)</f>
        <v>10131.469999999999</v>
      </c>
      <c r="K68" s="8"/>
      <c r="L68" s="8"/>
    </row>
    <row r="69" spans="1:12" ht="15.75" thickBot="1">
      <c r="A69" s="8"/>
      <c r="B69" s="8"/>
      <c r="C69" s="38" t="s">
        <v>116</v>
      </c>
      <c r="D69" s="29">
        <v>16404.919999999998</v>
      </c>
      <c r="E69" s="29">
        <v>173.21</v>
      </c>
      <c r="F69" s="29">
        <v>108.55</v>
      </c>
      <c r="G69" s="29">
        <v>0</v>
      </c>
      <c r="H69" s="29">
        <v>0</v>
      </c>
      <c r="I69" s="29">
        <v>0</v>
      </c>
      <c r="J69" s="29">
        <f>SUM(D69:I69)</f>
        <v>16686.679999999997</v>
      </c>
      <c r="K69" s="8"/>
      <c r="L69" s="8"/>
    </row>
    <row r="70" spans="1:12">
      <c r="A70" s="8"/>
      <c r="B70" s="8"/>
      <c r="C70" s="8"/>
      <c r="D70" s="20"/>
      <c r="E70" s="20"/>
      <c r="F70" s="20"/>
      <c r="G70" s="20"/>
      <c r="H70" s="20"/>
      <c r="I70" s="20"/>
      <c r="J70" s="20"/>
      <c r="K70" s="8"/>
      <c r="L70" s="8"/>
    </row>
    <row r="71" spans="1:12" ht="15.75" thickBot="1">
      <c r="A71" s="8"/>
      <c r="B71" s="8"/>
      <c r="C71" s="15" t="s">
        <v>10</v>
      </c>
      <c r="D71" s="31">
        <f t="shared" ref="D71:I71" si="9">SUM(D68:D69)</f>
        <v>26370.579999999998</v>
      </c>
      <c r="E71" s="31">
        <f t="shared" si="9"/>
        <v>275.14</v>
      </c>
      <c r="F71" s="31">
        <f t="shared" si="9"/>
        <v>172.43</v>
      </c>
      <c r="G71" s="31">
        <f t="shared" si="9"/>
        <v>0</v>
      </c>
      <c r="H71" s="31">
        <f t="shared" si="9"/>
        <v>0</v>
      </c>
      <c r="I71" s="31">
        <f t="shared" si="9"/>
        <v>0</v>
      </c>
      <c r="J71" s="31">
        <f>SUM(D71:I71)</f>
        <v>26818.149999999998</v>
      </c>
      <c r="K71" s="8"/>
      <c r="L71" s="8"/>
    </row>
    <row r="72" spans="1:12" ht="15.75" thickTop="1">
      <c r="A72" s="8"/>
      <c r="B72" s="8"/>
      <c r="C72" s="8"/>
      <c r="D72" s="20"/>
      <c r="E72" s="20"/>
      <c r="F72" s="20"/>
      <c r="G72" s="20"/>
      <c r="H72" s="20"/>
      <c r="I72" s="20"/>
      <c r="J72" s="20"/>
      <c r="K72" s="8"/>
      <c r="L72" s="8"/>
    </row>
    <row r="73" spans="1:12">
      <c r="A73" s="8"/>
      <c r="B73" s="8"/>
      <c r="C73" s="8"/>
      <c r="D73" s="20"/>
      <c r="E73" s="20"/>
      <c r="F73" s="20"/>
      <c r="G73" s="20"/>
      <c r="H73" s="20"/>
      <c r="I73" s="20"/>
      <c r="J73" s="20"/>
      <c r="K73" s="8"/>
      <c r="L73" s="8"/>
    </row>
    <row r="74" spans="1:12">
      <c r="A74" s="8">
        <v>31</v>
      </c>
      <c r="B74" s="8" t="s">
        <v>24</v>
      </c>
      <c r="C74" s="8" t="s">
        <v>12</v>
      </c>
      <c r="D74" s="20">
        <v>6456.35</v>
      </c>
      <c r="E74" s="20">
        <v>136.08000000000001</v>
      </c>
      <c r="F74" s="20">
        <v>53.88</v>
      </c>
      <c r="G74" s="20">
        <v>0</v>
      </c>
      <c r="H74" s="20">
        <v>0</v>
      </c>
      <c r="I74" s="20">
        <v>0</v>
      </c>
      <c r="J74" s="20">
        <f>SUM(D74:I74)</f>
        <v>6646.31</v>
      </c>
      <c r="K74" s="8"/>
      <c r="L74" s="8"/>
    </row>
    <row r="75" spans="1:12" ht="15.75" thickBot="1">
      <c r="A75" s="8"/>
      <c r="B75" s="8"/>
      <c r="C75" s="8" t="s">
        <v>13</v>
      </c>
      <c r="D75" s="29">
        <v>261.19</v>
      </c>
      <c r="E75" s="29">
        <v>10.66</v>
      </c>
      <c r="F75" s="29">
        <v>1.35</v>
      </c>
      <c r="G75" s="29">
        <v>0</v>
      </c>
      <c r="H75" s="29">
        <v>0</v>
      </c>
      <c r="I75" s="29">
        <v>0</v>
      </c>
      <c r="J75" s="29">
        <f>SUM(D75:I75)</f>
        <v>273.20000000000005</v>
      </c>
      <c r="K75" s="8"/>
      <c r="L75" s="8"/>
    </row>
    <row r="76" spans="1:12">
      <c r="A76" s="8"/>
      <c r="B76" s="8"/>
      <c r="C76" s="8"/>
      <c r="D76" s="20"/>
      <c r="E76" s="20"/>
      <c r="F76" s="20"/>
      <c r="G76" s="20"/>
      <c r="H76" s="20"/>
      <c r="I76" s="20"/>
      <c r="J76" s="20"/>
      <c r="K76" s="8"/>
      <c r="L76" s="8"/>
    </row>
    <row r="77" spans="1:12" ht="15.75" thickBot="1">
      <c r="A77" s="8"/>
      <c r="B77" s="8"/>
      <c r="C77" s="8" t="s">
        <v>10</v>
      </c>
      <c r="D77" s="31">
        <f t="shared" ref="D77:I77" si="10">SUM(D74:D75)</f>
        <v>6717.54</v>
      </c>
      <c r="E77" s="31">
        <f t="shared" si="10"/>
        <v>146.74</v>
      </c>
      <c r="F77" s="31">
        <f t="shared" si="10"/>
        <v>55.230000000000004</v>
      </c>
      <c r="G77" s="31">
        <f t="shared" si="10"/>
        <v>0</v>
      </c>
      <c r="H77" s="31">
        <f t="shared" si="10"/>
        <v>0</v>
      </c>
      <c r="I77" s="31">
        <f t="shared" si="10"/>
        <v>0</v>
      </c>
      <c r="J77" s="31">
        <f>SUM(D77:I77)</f>
        <v>6919.5099999999993</v>
      </c>
      <c r="K77" s="8"/>
      <c r="L77" s="8"/>
    </row>
    <row r="78" spans="1:12" ht="15.75" thickTop="1">
      <c r="A78" s="8"/>
      <c r="B78" s="8"/>
      <c r="C78" s="8"/>
      <c r="D78" s="20"/>
      <c r="E78" s="20"/>
      <c r="F78" s="20"/>
      <c r="G78" s="20"/>
      <c r="H78" s="20"/>
      <c r="I78" s="20"/>
      <c r="J78" s="20"/>
      <c r="K78" s="8"/>
      <c r="L78" s="8"/>
    </row>
    <row r="79" spans="1:12">
      <c r="A79" s="8"/>
      <c r="B79" s="8"/>
      <c r="C79" s="8"/>
      <c r="D79" s="20"/>
      <c r="E79" s="20"/>
      <c r="F79" s="20"/>
      <c r="G79" s="20"/>
      <c r="H79" s="20"/>
      <c r="I79" s="20"/>
      <c r="J79" s="20"/>
      <c r="K79" s="8"/>
      <c r="L79" s="8"/>
    </row>
    <row r="80" spans="1:12">
      <c r="A80" s="8">
        <v>32</v>
      </c>
      <c r="B80" s="8" t="s">
        <v>25</v>
      </c>
      <c r="C80" s="8" t="s">
        <v>12</v>
      </c>
      <c r="D80" s="20">
        <v>20058.560000000001</v>
      </c>
      <c r="E80" s="20">
        <v>16.89</v>
      </c>
      <c r="F80" s="20">
        <v>0</v>
      </c>
      <c r="G80" s="20">
        <v>0</v>
      </c>
      <c r="H80" s="20">
        <v>0</v>
      </c>
      <c r="I80" s="20">
        <v>0</v>
      </c>
      <c r="J80" s="20">
        <f>SUM(D80:I80)</f>
        <v>20075.45</v>
      </c>
      <c r="K80" s="8"/>
      <c r="L80" s="8"/>
    </row>
    <row r="81" spans="1:12" ht="15.75" thickBot="1">
      <c r="A81" s="8"/>
      <c r="B81" s="8"/>
      <c r="C81" s="8" t="s">
        <v>13</v>
      </c>
      <c r="D81" s="29">
        <v>412.32</v>
      </c>
      <c r="E81" s="29">
        <v>0.36</v>
      </c>
      <c r="F81" s="29">
        <v>0</v>
      </c>
      <c r="G81" s="29">
        <v>0</v>
      </c>
      <c r="H81" s="29">
        <v>0</v>
      </c>
      <c r="I81" s="29">
        <v>0</v>
      </c>
      <c r="J81" s="29">
        <f>SUM(D81:I81)</f>
        <v>412.68</v>
      </c>
      <c r="K81" s="8"/>
      <c r="L81" s="8"/>
    </row>
    <row r="82" spans="1:12" hidden="1">
      <c r="A82" s="8"/>
      <c r="B82" s="8"/>
      <c r="C82" s="8" t="s">
        <v>73</v>
      </c>
      <c r="D82" s="20"/>
      <c r="E82" s="20"/>
      <c r="F82" s="20"/>
      <c r="G82" s="20"/>
      <c r="H82" s="20"/>
      <c r="I82" s="20"/>
      <c r="J82" s="20">
        <f>SUM(D82:I82)</f>
        <v>0</v>
      </c>
      <c r="K82" s="8"/>
      <c r="L82" s="8"/>
    </row>
    <row r="83" spans="1:12" ht="15.75" hidden="1" thickBot="1">
      <c r="A83" s="8"/>
      <c r="B83" s="8"/>
      <c r="C83" s="8" t="s">
        <v>78</v>
      </c>
      <c r="D83" s="29"/>
      <c r="E83" s="29"/>
      <c r="F83" s="29"/>
      <c r="G83" s="29"/>
      <c r="H83" s="29"/>
      <c r="I83" s="29"/>
      <c r="J83" s="29">
        <f>SUM(D83:I83)</f>
        <v>0</v>
      </c>
      <c r="K83" s="8"/>
      <c r="L83" s="8"/>
    </row>
    <row r="84" spans="1:12">
      <c r="A84" s="8"/>
      <c r="B84" s="8"/>
      <c r="C84" s="8"/>
      <c r="D84" s="20"/>
      <c r="E84" s="20"/>
      <c r="F84" s="20"/>
      <c r="G84" s="20"/>
      <c r="H84" s="20"/>
      <c r="I84" s="20"/>
      <c r="J84" s="20"/>
      <c r="K84" s="8"/>
      <c r="L84" s="8"/>
    </row>
    <row r="85" spans="1:12" ht="15.75" thickBot="1">
      <c r="A85" s="8"/>
      <c r="B85" s="8"/>
      <c r="C85" s="8" t="s">
        <v>10</v>
      </c>
      <c r="D85" s="31">
        <f t="shared" ref="D85:I85" si="11">SUM(D80:D83)</f>
        <v>20470.88</v>
      </c>
      <c r="E85" s="31">
        <f t="shared" si="11"/>
        <v>17.25</v>
      </c>
      <c r="F85" s="31">
        <f t="shared" si="11"/>
        <v>0</v>
      </c>
      <c r="G85" s="31">
        <f t="shared" si="11"/>
        <v>0</v>
      </c>
      <c r="H85" s="31">
        <f t="shared" si="11"/>
        <v>0</v>
      </c>
      <c r="I85" s="31">
        <f t="shared" si="11"/>
        <v>0</v>
      </c>
      <c r="J85" s="31">
        <f>SUM(D85:I85)</f>
        <v>20488.13</v>
      </c>
      <c r="K85" s="8"/>
      <c r="L85" s="8"/>
    </row>
    <row r="86" spans="1:12" ht="15.75" thickTop="1">
      <c r="A86" s="8"/>
      <c r="B86" s="8"/>
      <c r="C86" s="8"/>
      <c r="D86" s="20"/>
      <c r="E86" s="20"/>
      <c r="F86" s="20"/>
      <c r="G86" s="20"/>
      <c r="H86" s="20"/>
      <c r="I86" s="20"/>
      <c r="J86" s="20"/>
      <c r="K86" s="8"/>
      <c r="L86" s="8"/>
    </row>
    <row r="87" spans="1:12">
      <c r="A87" s="8"/>
      <c r="B87" s="8"/>
      <c r="C87" s="8"/>
      <c r="D87" s="20"/>
      <c r="E87" s="20"/>
      <c r="F87" s="20"/>
      <c r="G87" s="20"/>
      <c r="H87" s="20"/>
      <c r="I87" s="20"/>
      <c r="J87" s="20"/>
      <c r="K87" s="8"/>
      <c r="L87" s="8"/>
    </row>
    <row r="88" spans="1:12">
      <c r="A88" s="8">
        <v>33</v>
      </c>
      <c r="B88" s="8" t="s">
        <v>26</v>
      </c>
      <c r="C88" s="8" t="s">
        <v>12</v>
      </c>
      <c r="D88" s="20">
        <v>20381.45</v>
      </c>
      <c r="E88" s="20">
        <v>1422.56</v>
      </c>
      <c r="F88" s="20">
        <v>2.19</v>
      </c>
      <c r="G88" s="20">
        <v>0</v>
      </c>
      <c r="H88" s="20">
        <v>0</v>
      </c>
      <c r="I88" s="20">
        <v>0</v>
      </c>
      <c r="J88" s="20">
        <f>SUM(D88:I88)</f>
        <v>21806.2</v>
      </c>
      <c r="K88" s="8"/>
      <c r="L88" s="8"/>
    </row>
    <row r="89" spans="1:12" ht="15.75" thickBot="1">
      <c r="A89" s="8"/>
      <c r="B89" s="8"/>
      <c r="C89" s="8" t="s">
        <v>13</v>
      </c>
      <c r="D89" s="29">
        <v>358.06</v>
      </c>
      <c r="E89" s="29">
        <v>23.89</v>
      </c>
      <c r="F89" s="29">
        <v>0.04</v>
      </c>
      <c r="G89" s="29">
        <v>0</v>
      </c>
      <c r="H89" s="29">
        <v>0</v>
      </c>
      <c r="I89" s="29">
        <v>0</v>
      </c>
      <c r="J89" s="29">
        <f>SUM(D89:I89)</f>
        <v>381.99</v>
      </c>
      <c r="K89" s="8"/>
      <c r="L89" s="8"/>
    </row>
    <row r="90" spans="1:12">
      <c r="A90" s="8"/>
      <c r="B90" s="8"/>
      <c r="C90" s="8"/>
      <c r="D90" s="20"/>
      <c r="E90" s="20"/>
      <c r="F90" s="20"/>
      <c r="G90" s="20"/>
      <c r="H90" s="20"/>
      <c r="I90" s="20"/>
      <c r="J90" s="20"/>
      <c r="K90" s="8"/>
      <c r="L90" s="8"/>
    </row>
    <row r="91" spans="1:12" ht="15.75" thickBot="1">
      <c r="A91" s="8"/>
      <c r="B91" s="8"/>
      <c r="C91" s="8" t="s">
        <v>10</v>
      </c>
      <c r="D91" s="31">
        <f t="shared" ref="D91:I91" si="12">SUM(D88:D89)</f>
        <v>20739.510000000002</v>
      </c>
      <c r="E91" s="31">
        <f t="shared" si="12"/>
        <v>1446.45</v>
      </c>
      <c r="F91" s="31">
        <f t="shared" si="12"/>
        <v>2.23</v>
      </c>
      <c r="G91" s="31">
        <f t="shared" si="12"/>
        <v>0</v>
      </c>
      <c r="H91" s="31">
        <f t="shared" si="12"/>
        <v>0</v>
      </c>
      <c r="I91" s="31">
        <f t="shared" si="12"/>
        <v>0</v>
      </c>
      <c r="J91" s="31">
        <f>SUM(D91:I91)</f>
        <v>22188.190000000002</v>
      </c>
      <c r="K91" s="8"/>
      <c r="L91" s="8"/>
    </row>
    <row r="92" spans="1:12" ht="15.75" thickTop="1">
      <c r="A92" s="8"/>
      <c r="B92" s="8"/>
      <c r="C92" s="8"/>
      <c r="D92" s="20"/>
      <c r="E92" s="20"/>
      <c r="F92" s="20"/>
      <c r="G92" s="20"/>
      <c r="H92" s="20"/>
      <c r="I92" s="20"/>
      <c r="J92" s="20"/>
      <c r="K92" s="8"/>
      <c r="L92" s="8"/>
    </row>
    <row r="93" spans="1:12">
      <c r="A93" s="8"/>
      <c r="B93" s="8"/>
      <c r="C93" s="8"/>
      <c r="D93" s="20"/>
      <c r="E93" s="20"/>
      <c r="F93" s="20"/>
      <c r="G93" s="20"/>
      <c r="H93" s="20"/>
      <c r="I93" s="20"/>
      <c r="J93" s="20"/>
      <c r="K93" s="8"/>
      <c r="L93" s="8"/>
    </row>
    <row r="94" spans="1:12">
      <c r="A94" s="8">
        <v>34</v>
      </c>
      <c r="B94" s="8" t="s">
        <v>27</v>
      </c>
      <c r="C94" s="8" t="s">
        <v>12</v>
      </c>
      <c r="D94" s="20">
        <v>17653.849999999999</v>
      </c>
      <c r="E94" s="20">
        <v>7.01</v>
      </c>
      <c r="F94" s="20">
        <v>0</v>
      </c>
      <c r="G94" s="20">
        <v>0</v>
      </c>
      <c r="H94" s="20">
        <v>0</v>
      </c>
      <c r="I94" s="20">
        <v>0</v>
      </c>
      <c r="J94" s="20">
        <f>SUM(D94:I94)</f>
        <v>17660.859999999997</v>
      </c>
      <c r="K94" s="8"/>
      <c r="L94" s="8"/>
    </row>
    <row r="95" spans="1:12" hidden="1">
      <c r="A95" s="8"/>
      <c r="B95" s="8"/>
      <c r="C95" s="8" t="s">
        <v>35</v>
      </c>
      <c r="D95" s="20"/>
      <c r="E95" s="20"/>
      <c r="F95" s="20"/>
      <c r="G95" s="20">
        <v>0</v>
      </c>
      <c r="H95" s="20">
        <v>0</v>
      </c>
      <c r="I95" s="20">
        <v>0</v>
      </c>
      <c r="J95" s="20">
        <f>SUM(D95:I95)</f>
        <v>0</v>
      </c>
      <c r="K95" s="8"/>
      <c r="L95" s="8"/>
    </row>
    <row r="96" spans="1:12" hidden="1">
      <c r="A96" s="8"/>
      <c r="B96" s="8"/>
      <c r="C96" s="8" t="s">
        <v>13</v>
      </c>
      <c r="D96" s="20"/>
      <c r="E96" s="20"/>
      <c r="F96" s="20"/>
      <c r="G96" s="20">
        <v>0</v>
      </c>
      <c r="H96" s="20">
        <v>0</v>
      </c>
      <c r="I96" s="20">
        <v>0</v>
      </c>
      <c r="J96" s="20">
        <f>SUM(D96:I96)</f>
        <v>0</v>
      </c>
      <c r="K96" s="8"/>
      <c r="L96" s="8"/>
    </row>
    <row r="97" spans="1:12" ht="15.75" thickBot="1">
      <c r="A97" s="8"/>
      <c r="B97" s="8"/>
      <c r="C97" s="8" t="s">
        <v>13</v>
      </c>
      <c r="D97" s="29">
        <v>428.73</v>
      </c>
      <c r="E97" s="29">
        <v>0.17</v>
      </c>
      <c r="F97" s="29">
        <v>0</v>
      </c>
      <c r="G97" s="29">
        <v>0</v>
      </c>
      <c r="H97" s="29">
        <v>0</v>
      </c>
      <c r="I97" s="29">
        <v>0</v>
      </c>
      <c r="J97" s="29">
        <f>SUM(D97:I97)</f>
        <v>428.90000000000003</v>
      </c>
      <c r="K97" s="8"/>
      <c r="L97" s="8"/>
    </row>
    <row r="98" spans="1:12">
      <c r="A98" s="8"/>
      <c r="B98" s="8"/>
      <c r="C98" s="8"/>
      <c r="D98" s="20"/>
      <c r="E98" s="20"/>
      <c r="F98" s="20"/>
      <c r="G98" s="20"/>
      <c r="H98" s="20"/>
      <c r="I98" s="20"/>
      <c r="J98" s="20"/>
      <c r="K98" s="8"/>
      <c r="L98" s="8"/>
    </row>
    <row r="99" spans="1:12" ht="15.75" thickBot="1">
      <c r="A99" s="8"/>
      <c r="B99" s="8"/>
      <c r="C99" s="8" t="s">
        <v>10</v>
      </c>
      <c r="D99" s="31">
        <f t="shared" ref="D99:I99" si="13">SUM(D94:D98)</f>
        <v>18082.579999999998</v>
      </c>
      <c r="E99" s="31">
        <f t="shared" si="13"/>
        <v>7.18</v>
      </c>
      <c r="F99" s="31">
        <f t="shared" si="13"/>
        <v>0</v>
      </c>
      <c r="G99" s="31">
        <f t="shared" si="13"/>
        <v>0</v>
      </c>
      <c r="H99" s="31">
        <f t="shared" si="13"/>
        <v>0</v>
      </c>
      <c r="I99" s="31">
        <f t="shared" si="13"/>
        <v>0</v>
      </c>
      <c r="J99" s="31">
        <f>SUM(D99:I99)</f>
        <v>18089.759999999998</v>
      </c>
      <c r="K99" s="8"/>
      <c r="L99" s="8"/>
    </row>
    <row r="100" spans="1:12" ht="15.75" thickTop="1">
      <c r="A100" s="8"/>
      <c r="B100" s="8"/>
      <c r="C100" s="8"/>
      <c r="D100" s="20"/>
      <c r="E100" s="20"/>
      <c r="F100" s="20"/>
      <c r="G100" s="20"/>
      <c r="H100" s="20"/>
      <c r="I100" s="20"/>
      <c r="J100" s="20"/>
      <c r="K100" s="8"/>
      <c r="L100" s="8"/>
    </row>
    <row r="101" spans="1:12">
      <c r="A101" s="8"/>
      <c r="B101" s="8"/>
      <c r="C101" s="8"/>
      <c r="D101" s="20"/>
      <c r="E101" s="20"/>
      <c r="F101" s="20"/>
      <c r="G101" s="20"/>
      <c r="H101" s="20"/>
      <c r="I101" s="20"/>
      <c r="J101" s="20"/>
      <c r="K101" s="8"/>
      <c r="L101" s="8"/>
    </row>
    <row r="102" spans="1:12">
      <c r="A102" s="8">
        <v>35</v>
      </c>
      <c r="B102" s="8" t="s">
        <v>28</v>
      </c>
      <c r="C102" s="8" t="s">
        <v>12</v>
      </c>
      <c r="D102" s="20">
        <v>11721.5</v>
      </c>
      <c r="E102" s="20">
        <v>45.56</v>
      </c>
      <c r="F102" s="20">
        <v>0</v>
      </c>
      <c r="G102" s="20">
        <v>0</v>
      </c>
      <c r="H102" s="20">
        <v>0</v>
      </c>
      <c r="I102" s="20">
        <v>0</v>
      </c>
      <c r="J102" s="20">
        <f>SUM(D102:I102)</f>
        <v>11767.06</v>
      </c>
      <c r="K102" s="8"/>
      <c r="L102" s="8"/>
    </row>
    <row r="103" spans="1:12" ht="15.75" thickBot="1">
      <c r="A103" s="8"/>
      <c r="B103" s="8"/>
      <c r="C103" s="38" t="s">
        <v>116</v>
      </c>
      <c r="D103" s="29">
        <v>6788.73</v>
      </c>
      <c r="E103" s="29">
        <v>26.37</v>
      </c>
      <c r="F103" s="29">
        <v>0</v>
      </c>
      <c r="G103" s="29"/>
      <c r="H103" s="29"/>
      <c r="I103" s="29"/>
      <c r="J103" s="29">
        <f>SUM(D103:I103)</f>
        <v>6815.0999999999995</v>
      </c>
      <c r="K103" s="8"/>
      <c r="L103" s="8"/>
    </row>
    <row r="104" spans="1:12">
      <c r="A104" s="8"/>
      <c r="B104" s="8"/>
      <c r="C104" s="8"/>
      <c r="D104" s="20"/>
      <c r="E104" s="20"/>
      <c r="F104" s="20"/>
      <c r="G104" s="20"/>
      <c r="H104" s="20"/>
      <c r="I104" s="20"/>
      <c r="J104" s="20"/>
      <c r="K104" s="8"/>
      <c r="L104" s="8"/>
    </row>
    <row r="105" spans="1:12" ht="15.75" thickBot="1">
      <c r="A105" s="8"/>
      <c r="B105" s="8"/>
      <c r="C105" s="8" t="s">
        <v>10</v>
      </c>
      <c r="D105" s="31">
        <f t="shared" ref="D105:I105" si="14">SUM(D102:D104)</f>
        <v>18510.23</v>
      </c>
      <c r="E105" s="31">
        <f t="shared" si="14"/>
        <v>71.930000000000007</v>
      </c>
      <c r="F105" s="31">
        <f t="shared" si="14"/>
        <v>0</v>
      </c>
      <c r="G105" s="31">
        <f t="shared" si="14"/>
        <v>0</v>
      </c>
      <c r="H105" s="31">
        <f t="shared" si="14"/>
        <v>0</v>
      </c>
      <c r="I105" s="31">
        <f t="shared" si="14"/>
        <v>0</v>
      </c>
      <c r="J105" s="31">
        <f>SUM(D105:I105)</f>
        <v>18582.16</v>
      </c>
      <c r="K105" s="8"/>
      <c r="L105" s="8"/>
    </row>
    <row r="106" spans="1:12" ht="15.75" thickTop="1">
      <c r="A106" s="8"/>
      <c r="B106" s="8"/>
      <c r="C106" s="8"/>
      <c r="D106" s="20"/>
      <c r="E106" s="20"/>
      <c r="F106" s="20"/>
      <c r="G106" s="20"/>
      <c r="H106" s="20"/>
      <c r="I106" s="20"/>
      <c r="J106" s="20"/>
      <c r="K106" s="8"/>
      <c r="L106" s="8"/>
    </row>
    <row r="107" spans="1:12">
      <c r="A107" s="8"/>
      <c r="B107" s="8"/>
      <c r="C107" s="8"/>
      <c r="D107" s="20"/>
      <c r="E107" s="20"/>
      <c r="F107" s="20"/>
      <c r="G107" s="20"/>
      <c r="H107" s="20"/>
      <c r="I107" s="20"/>
      <c r="J107" s="20"/>
      <c r="K107" s="8"/>
      <c r="L107" s="8"/>
    </row>
    <row r="108" spans="1:12">
      <c r="A108" s="8">
        <v>36</v>
      </c>
      <c r="B108" s="8" t="s">
        <v>29</v>
      </c>
      <c r="C108" s="8" t="s">
        <v>12</v>
      </c>
      <c r="D108" s="20">
        <v>21553.9</v>
      </c>
      <c r="E108" s="20">
        <v>209.41</v>
      </c>
      <c r="F108" s="20">
        <v>200.86</v>
      </c>
      <c r="G108" s="20">
        <v>0</v>
      </c>
      <c r="H108" s="20">
        <v>0</v>
      </c>
      <c r="I108" s="20">
        <v>0</v>
      </c>
      <c r="J108" s="20">
        <f>SUM(D108:I108)</f>
        <v>21964.170000000002</v>
      </c>
      <c r="K108" s="8"/>
      <c r="L108" s="8"/>
    </row>
    <row r="109" spans="1:12" hidden="1">
      <c r="A109" s="8"/>
      <c r="B109" s="8"/>
      <c r="C109" s="38" t="s">
        <v>13</v>
      </c>
      <c r="D109" s="20"/>
      <c r="E109" s="20"/>
      <c r="F109" s="20"/>
      <c r="G109" s="20">
        <v>0</v>
      </c>
      <c r="H109" s="20">
        <v>0</v>
      </c>
      <c r="I109" s="20">
        <v>0</v>
      </c>
      <c r="J109" s="20">
        <f>SUM(D109:I109)</f>
        <v>0</v>
      </c>
      <c r="K109" s="8"/>
      <c r="L109" s="8"/>
    </row>
    <row r="110" spans="1:12" ht="15.75" thickBot="1">
      <c r="A110" s="8"/>
      <c r="B110" s="8"/>
      <c r="C110" s="38" t="s">
        <v>13</v>
      </c>
      <c r="D110" s="29">
        <v>287.39</v>
      </c>
      <c r="E110" s="29">
        <v>3.18</v>
      </c>
      <c r="F110" s="29">
        <v>2.73</v>
      </c>
      <c r="G110" s="29">
        <v>0</v>
      </c>
      <c r="H110" s="29">
        <v>0</v>
      </c>
      <c r="I110" s="29">
        <v>0</v>
      </c>
      <c r="J110" s="29">
        <f>SUM(D110:I110)</f>
        <v>293.3</v>
      </c>
      <c r="K110" s="8"/>
      <c r="L110" s="8"/>
    </row>
    <row r="111" spans="1:12">
      <c r="A111" s="8"/>
      <c r="B111" s="8"/>
      <c r="C111" s="8"/>
      <c r="D111" s="20"/>
      <c r="E111" s="20"/>
      <c r="F111" s="20"/>
      <c r="G111" s="20"/>
      <c r="H111" s="20"/>
      <c r="I111" s="20"/>
      <c r="J111" s="20"/>
      <c r="K111" s="8"/>
      <c r="L111" s="8"/>
    </row>
    <row r="112" spans="1:12" ht="15.75" thickBot="1">
      <c r="A112" s="8"/>
      <c r="B112" s="8"/>
      <c r="C112" s="8" t="s">
        <v>10</v>
      </c>
      <c r="D112" s="31">
        <f t="shared" ref="D112:I112" si="15">SUM(D108:D110)</f>
        <v>21841.29</v>
      </c>
      <c r="E112" s="31">
        <f t="shared" si="15"/>
        <v>212.59</v>
      </c>
      <c r="F112" s="31">
        <f t="shared" si="15"/>
        <v>203.59</v>
      </c>
      <c r="G112" s="31">
        <f t="shared" si="15"/>
        <v>0</v>
      </c>
      <c r="H112" s="31">
        <f t="shared" si="15"/>
        <v>0</v>
      </c>
      <c r="I112" s="31">
        <f t="shared" si="15"/>
        <v>0</v>
      </c>
      <c r="J112" s="31">
        <f>SUM(D112:I112)</f>
        <v>22257.47</v>
      </c>
      <c r="K112" s="8"/>
      <c r="L112" s="8"/>
    </row>
    <row r="113" spans="1:12" ht="15.75" thickTop="1">
      <c r="A113" s="8"/>
      <c r="B113" s="8"/>
      <c r="C113" s="8"/>
      <c r="D113" s="20"/>
      <c r="E113" s="20"/>
      <c r="F113" s="20"/>
      <c r="G113" s="20"/>
      <c r="H113" s="20"/>
      <c r="I113" s="20"/>
      <c r="J113" s="20"/>
      <c r="K113" s="8"/>
      <c r="L113" s="8"/>
    </row>
    <row r="114" spans="1:12">
      <c r="A114" s="8"/>
      <c r="B114" s="8"/>
      <c r="C114" s="8"/>
      <c r="D114" s="20"/>
      <c r="E114" s="20"/>
      <c r="F114" s="20"/>
      <c r="G114" s="20"/>
      <c r="H114" s="20"/>
      <c r="I114" s="20"/>
      <c r="J114" s="20"/>
      <c r="K114" s="8"/>
      <c r="L114" s="8"/>
    </row>
    <row r="115" spans="1:12" ht="15.75" thickBot="1">
      <c r="A115" s="8">
        <v>37</v>
      </c>
      <c r="B115" s="8" t="s">
        <v>30</v>
      </c>
      <c r="C115" s="8" t="s">
        <v>12</v>
      </c>
      <c r="D115" s="29">
        <v>28204.560000000001</v>
      </c>
      <c r="E115" s="29">
        <v>1127.7</v>
      </c>
      <c r="F115" s="29">
        <v>0</v>
      </c>
      <c r="G115" s="29">
        <v>0</v>
      </c>
      <c r="H115" s="29">
        <v>0</v>
      </c>
      <c r="I115" s="29">
        <v>0</v>
      </c>
      <c r="J115" s="29">
        <f>SUM(D115:I115)</f>
        <v>29332.260000000002</v>
      </c>
      <c r="K115" s="8"/>
      <c r="L115" s="8"/>
    </row>
    <row r="116" spans="1:12">
      <c r="A116" s="8"/>
      <c r="B116" s="8"/>
      <c r="C116" s="8"/>
      <c r="D116" s="20"/>
      <c r="E116" s="20"/>
      <c r="F116" s="20"/>
      <c r="G116" s="20"/>
      <c r="H116" s="20"/>
      <c r="I116" s="20"/>
      <c r="J116" s="20"/>
      <c r="K116" s="8"/>
      <c r="L116" s="8"/>
    </row>
    <row r="117" spans="1:12" ht="15.75" thickBot="1">
      <c r="A117" s="8"/>
      <c r="B117" s="8"/>
      <c r="C117" s="8" t="s">
        <v>10</v>
      </c>
      <c r="D117" s="31">
        <f t="shared" ref="D117:I117" si="16">SUM(D115:D116)</f>
        <v>28204.560000000001</v>
      </c>
      <c r="E117" s="31">
        <f t="shared" si="16"/>
        <v>1127.7</v>
      </c>
      <c r="F117" s="31">
        <f t="shared" si="16"/>
        <v>0</v>
      </c>
      <c r="G117" s="31">
        <f t="shared" si="16"/>
        <v>0</v>
      </c>
      <c r="H117" s="31">
        <f t="shared" si="16"/>
        <v>0</v>
      </c>
      <c r="I117" s="31">
        <f t="shared" si="16"/>
        <v>0</v>
      </c>
      <c r="J117" s="31">
        <f>SUM(D117:I117)</f>
        <v>29332.260000000002</v>
      </c>
      <c r="K117" s="8"/>
      <c r="L117" s="8"/>
    </row>
    <row r="118" spans="1:12" ht="15.75" thickTop="1">
      <c r="A118" s="8"/>
      <c r="B118" s="8"/>
      <c r="C118" s="8"/>
      <c r="D118" s="20"/>
      <c r="E118" s="20"/>
      <c r="F118" s="20"/>
      <c r="G118" s="20"/>
      <c r="H118" s="20"/>
      <c r="I118" s="20"/>
      <c r="J118" s="20"/>
      <c r="K118" s="8"/>
      <c r="L118" s="8"/>
    </row>
    <row r="119" spans="1:12">
      <c r="A119" s="8"/>
      <c r="B119" s="8"/>
      <c r="C119" s="8"/>
      <c r="D119" s="20"/>
      <c r="E119" s="20"/>
      <c r="F119" s="20"/>
      <c r="G119" s="20"/>
      <c r="H119" s="20"/>
      <c r="I119" s="20"/>
      <c r="J119" s="20"/>
      <c r="K119" s="8"/>
      <c r="L119" s="8"/>
    </row>
    <row r="120" spans="1:12">
      <c r="A120" s="8">
        <v>38</v>
      </c>
      <c r="B120" s="8" t="s">
        <v>31</v>
      </c>
      <c r="C120" s="8" t="s">
        <v>12</v>
      </c>
      <c r="D120" s="20">
        <v>15195.35</v>
      </c>
      <c r="E120" s="20">
        <v>152.47</v>
      </c>
      <c r="F120" s="20">
        <v>0</v>
      </c>
      <c r="G120" s="20">
        <v>0</v>
      </c>
      <c r="H120" s="20">
        <v>0</v>
      </c>
      <c r="I120" s="20">
        <v>0</v>
      </c>
      <c r="J120" s="20">
        <f>SUM(D120:I120)</f>
        <v>15347.82</v>
      </c>
      <c r="K120" s="8"/>
      <c r="L120" s="8"/>
    </row>
    <row r="121" spans="1:12" hidden="1">
      <c r="A121" s="8"/>
      <c r="B121" s="8"/>
      <c r="C121" s="8" t="s">
        <v>35</v>
      </c>
      <c r="D121" s="20"/>
      <c r="E121" s="20"/>
      <c r="F121" s="20">
        <v>0</v>
      </c>
      <c r="G121" s="20">
        <v>0</v>
      </c>
      <c r="H121" s="20">
        <v>0</v>
      </c>
      <c r="I121" s="20">
        <v>0</v>
      </c>
      <c r="J121" s="20">
        <f>SUM(D121:I121)</f>
        <v>0</v>
      </c>
      <c r="K121" s="8"/>
      <c r="L121" s="8"/>
    </row>
    <row r="122" spans="1:12" ht="15.75" thickBot="1">
      <c r="A122" s="8"/>
      <c r="B122" s="8"/>
      <c r="C122" s="8" t="s">
        <v>13</v>
      </c>
      <c r="D122" s="29">
        <v>379.89</v>
      </c>
      <c r="E122" s="29">
        <v>4.2300000000000004</v>
      </c>
      <c r="F122" s="29">
        <v>0</v>
      </c>
      <c r="G122" s="29">
        <v>0</v>
      </c>
      <c r="H122" s="29">
        <v>0</v>
      </c>
      <c r="I122" s="29">
        <v>0</v>
      </c>
      <c r="J122" s="29">
        <f>SUM(D122:I122)</f>
        <v>384.12</v>
      </c>
      <c r="K122" s="8"/>
      <c r="L122" s="8"/>
    </row>
    <row r="123" spans="1:12" ht="15.75" hidden="1" thickBot="1">
      <c r="A123" s="8"/>
      <c r="B123" s="8"/>
      <c r="C123" s="8" t="s">
        <v>78</v>
      </c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f>SUM(D123:I123)</f>
        <v>0</v>
      </c>
      <c r="K123" s="8"/>
      <c r="L123" s="8"/>
    </row>
    <row r="124" spans="1:12">
      <c r="A124" s="8"/>
      <c r="B124" s="8"/>
      <c r="C124" s="8"/>
      <c r="D124" s="20"/>
      <c r="E124" s="20"/>
      <c r="F124" s="20"/>
      <c r="G124" s="20"/>
      <c r="H124" s="20"/>
      <c r="I124" s="20"/>
      <c r="J124" s="20"/>
      <c r="K124" s="8"/>
      <c r="L124" s="8"/>
    </row>
    <row r="125" spans="1:12" ht="15.75" thickBot="1">
      <c r="A125" s="8"/>
      <c r="B125" s="8"/>
      <c r="C125" s="8" t="s">
        <v>10</v>
      </c>
      <c r="D125" s="31">
        <f t="shared" ref="D125:I125" si="17">SUM(D120:D123)</f>
        <v>15575.24</v>
      </c>
      <c r="E125" s="31">
        <f t="shared" si="17"/>
        <v>156.69999999999999</v>
      </c>
      <c r="F125" s="31">
        <f t="shared" si="17"/>
        <v>0</v>
      </c>
      <c r="G125" s="31">
        <f t="shared" si="17"/>
        <v>0</v>
      </c>
      <c r="H125" s="31">
        <f t="shared" si="17"/>
        <v>0</v>
      </c>
      <c r="I125" s="31">
        <f t="shared" si="17"/>
        <v>0</v>
      </c>
      <c r="J125" s="31">
        <f>SUM(D125:I125)</f>
        <v>15731.94</v>
      </c>
      <c r="K125" s="8"/>
      <c r="L125" s="8"/>
    </row>
    <row r="126" spans="1:12" ht="15.75" thickTop="1">
      <c r="A126" s="8"/>
      <c r="B126" s="8"/>
      <c r="C126" s="8"/>
      <c r="D126" s="20"/>
      <c r="E126" s="20"/>
      <c r="F126" s="20"/>
      <c r="G126" s="20"/>
      <c r="H126" s="20"/>
      <c r="I126" s="20"/>
      <c r="J126" s="20"/>
      <c r="K126" s="8"/>
      <c r="L126" s="8"/>
    </row>
    <row r="127" spans="1:12">
      <c r="A127" s="8"/>
      <c r="B127" s="8"/>
      <c r="C127" s="8"/>
      <c r="D127" s="20"/>
      <c r="E127" s="20"/>
      <c r="F127" s="20"/>
      <c r="G127" s="20"/>
      <c r="H127" s="20"/>
      <c r="I127" s="20"/>
      <c r="J127" s="20"/>
      <c r="K127" s="8"/>
      <c r="L127" s="8"/>
    </row>
    <row r="128" spans="1:12" ht="15.75" thickBot="1">
      <c r="A128" s="8">
        <v>39</v>
      </c>
      <c r="B128" s="8" t="s">
        <v>32</v>
      </c>
      <c r="C128" s="8" t="s">
        <v>12</v>
      </c>
      <c r="D128" s="29">
        <v>0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f>SUM(D128:I128)</f>
        <v>0</v>
      </c>
      <c r="K128" s="8"/>
      <c r="L128" s="8"/>
    </row>
    <row r="129" spans="1:12">
      <c r="A129" s="8"/>
      <c r="B129" s="8"/>
      <c r="C129" s="8"/>
      <c r="D129" s="20"/>
      <c r="E129" s="20"/>
      <c r="F129" s="20"/>
      <c r="G129" s="20"/>
      <c r="H129" s="20"/>
      <c r="I129" s="20"/>
      <c r="J129" s="20"/>
      <c r="K129" s="8"/>
      <c r="L129" s="8"/>
    </row>
    <row r="130" spans="1:12" ht="15.75" thickBot="1">
      <c r="A130" s="8"/>
      <c r="B130" s="8"/>
      <c r="C130" s="8" t="s">
        <v>10</v>
      </c>
      <c r="D130" s="31">
        <f>D128</f>
        <v>0</v>
      </c>
      <c r="E130" s="31">
        <f t="shared" ref="E130:J130" si="18">E128</f>
        <v>0</v>
      </c>
      <c r="F130" s="31">
        <f t="shared" si="18"/>
        <v>0</v>
      </c>
      <c r="G130" s="31">
        <f t="shared" si="18"/>
        <v>0</v>
      </c>
      <c r="H130" s="31">
        <f t="shared" si="18"/>
        <v>0</v>
      </c>
      <c r="I130" s="31">
        <f t="shared" si="18"/>
        <v>0</v>
      </c>
      <c r="J130" s="31">
        <f t="shared" si="18"/>
        <v>0</v>
      </c>
      <c r="K130" s="8"/>
      <c r="L130" s="8"/>
    </row>
    <row r="131" spans="1:12" ht="15.75" thickTop="1">
      <c r="A131" s="8"/>
      <c r="B131" s="8"/>
      <c r="C131" s="8"/>
      <c r="D131" s="20"/>
      <c r="E131" s="20"/>
      <c r="F131" s="20"/>
      <c r="G131" s="20"/>
      <c r="H131" s="20"/>
      <c r="I131" s="20"/>
      <c r="J131" s="20"/>
      <c r="K131" s="8"/>
      <c r="L131" s="8"/>
    </row>
    <row r="132" spans="1:12">
      <c r="A132" s="8"/>
      <c r="B132" s="8"/>
      <c r="C132" s="8"/>
      <c r="D132" s="20"/>
      <c r="E132" s="20"/>
      <c r="F132" s="20"/>
      <c r="G132" s="20"/>
      <c r="H132" s="20"/>
      <c r="I132" s="20"/>
      <c r="J132" s="20"/>
      <c r="K132" s="8"/>
      <c r="L132" s="8"/>
    </row>
    <row r="133" spans="1:12" ht="15.75" thickBot="1">
      <c r="A133" s="8">
        <v>40</v>
      </c>
      <c r="B133" s="8" t="s">
        <v>33</v>
      </c>
      <c r="C133" s="8" t="s">
        <v>12</v>
      </c>
      <c r="D133" s="29">
        <v>20315.22</v>
      </c>
      <c r="E133" s="29">
        <v>291.02</v>
      </c>
      <c r="F133" s="29">
        <v>9.77</v>
      </c>
      <c r="G133" s="29">
        <v>0</v>
      </c>
      <c r="H133" s="29">
        <v>0</v>
      </c>
      <c r="I133" s="29">
        <v>0</v>
      </c>
      <c r="J133" s="29">
        <f>SUM(D133:I133)</f>
        <v>20616.010000000002</v>
      </c>
      <c r="K133" s="8"/>
      <c r="L133" s="8"/>
    </row>
    <row r="134" spans="1:12">
      <c r="A134" s="8"/>
      <c r="B134" s="8"/>
      <c r="C134" s="8"/>
      <c r="D134" s="20"/>
      <c r="E134" s="20"/>
      <c r="F134" s="20"/>
      <c r="G134" s="20"/>
      <c r="H134" s="20"/>
      <c r="I134" s="20"/>
      <c r="J134" s="20"/>
      <c r="K134" s="8"/>
      <c r="L134" s="8"/>
    </row>
    <row r="135" spans="1:12" ht="15.75" thickBot="1">
      <c r="A135" s="8"/>
      <c r="B135" s="8"/>
      <c r="C135" s="8" t="s">
        <v>10</v>
      </c>
      <c r="D135" s="31">
        <f t="shared" ref="D135:I135" si="19">SUM(D133:D134)</f>
        <v>20315.22</v>
      </c>
      <c r="E135" s="31">
        <f t="shared" si="19"/>
        <v>291.02</v>
      </c>
      <c r="F135" s="31">
        <f t="shared" si="19"/>
        <v>9.77</v>
      </c>
      <c r="G135" s="31">
        <f t="shared" si="19"/>
        <v>0</v>
      </c>
      <c r="H135" s="31">
        <f t="shared" si="19"/>
        <v>0</v>
      </c>
      <c r="I135" s="31">
        <f t="shared" si="19"/>
        <v>0</v>
      </c>
      <c r="J135" s="31">
        <f>SUM(D135:I135)</f>
        <v>20616.010000000002</v>
      </c>
      <c r="K135" s="8"/>
      <c r="L135" s="8"/>
    </row>
    <row r="136" spans="1:12" ht="15.75" thickTop="1">
      <c r="A136" s="8"/>
      <c r="B136" s="8"/>
      <c r="C136" s="8"/>
      <c r="D136" s="20"/>
      <c r="E136" s="20"/>
      <c r="F136" s="20"/>
      <c r="G136" s="20"/>
      <c r="H136" s="20"/>
      <c r="I136" s="20"/>
      <c r="J136" s="20"/>
      <c r="K136" s="8"/>
      <c r="L136" s="8"/>
    </row>
    <row r="137" spans="1:12">
      <c r="A137" s="8"/>
      <c r="B137" s="8"/>
      <c r="C137" s="8"/>
      <c r="D137" s="20"/>
      <c r="E137" s="20"/>
      <c r="F137" s="20"/>
      <c r="G137" s="20"/>
      <c r="H137" s="20"/>
      <c r="I137" s="20"/>
      <c r="J137" s="20"/>
      <c r="K137" s="8"/>
      <c r="L137" s="8"/>
    </row>
    <row r="138" spans="1:12" ht="15.75" thickBot="1">
      <c r="A138" s="8">
        <v>41</v>
      </c>
      <c r="B138" s="8" t="s">
        <v>34</v>
      </c>
      <c r="C138" s="8" t="s">
        <v>12</v>
      </c>
      <c r="D138" s="29">
        <v>16185.69</v>
      </c>
      <c r="E138" s="29">
        <v>8.3699999999999992</v>
      </c>
      <c r="F138" s="29">
        <v>0</v>
      </c>
      <c r="G138" s="29">
        <v>0</v>
      </c>
      <c r="H138" s="29">
        <v>0</v>
      </c>
      <c r="I138" s="29">
        <v>0</v>
      </c>
      <c r="J138" s="29">
        <f>SUM(D138:I138)</f>
        <v>16194.060000000001</v>
      </c>
      <c r="K138" s="8"/>
      <c r="L138" s="8"/>
    </row>
    <row r="139" spans="1:12" hidden="1">
      <c r="A139" s="8"/>
      <c r="B139" s="8"/>
      <c r="C139" s="38" t="s">
        <v>35</v>
      </c>
      <c r="D139" s="20">
        <v>0</v>
      </c>
      <c r="E139" s="20"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f>SUM(D139:I139)</f>
        <v>0</v>
      </c>
      <c r="K139" s="8"/>
      <c r="L139" s="8"/>
    </row>
    <row r="140" spans="1:12" ht="15.75" hidden="1" thickBot="1">
      <c r="A140" s="8"/>
      <c r="B140" s="8"/>
      <c r="C140" s="38" t="s">
        <v>109</v>
      </c>
      <c r="D140" s="29">
        <v>0</v>
      </c>
      <c r="E140" s="29">
        <v>0</v>
      </c>
      <c r="F140" s="29">
        <v>0</v>
      </c>
      <c r="G140" s="29">
        <v>0</v>
      </c>
      <c r="H140" s="29">
        <v>0</v>
      </c>
      <c r="I140" s="29">
        <v>0</v>
      </c>
      <c r="J140" s="29">
        <f>SUM(D140:I140)</f>
        <v>0</v>
      </c>
      <c r="K140" s="8"/>
      <c r="L140" s="8"/>
    </row>
    <row r="141" spans="1:12">
      <c r="A141" s="8"/>
      <c r="B141" s="8"/>
      <c r="C141" s="8"/>
      <c r="D141" s="20"/>
      <c r="E141" s="20"/>
      <c r="F141" s="20"/>
      <c r="G141" s="20"/>
      <c r="H141" s="20"/>
      <c r="I141" s="20"/>
      <c r="J141" s="20"/>
      <c r="K141" s="8"/>
      <c r="L141" s="8"/>
    </row>
    <row r="142" spans="1:12" ht="15.75" thickBot="1">
      <c r="A142" s="8"/>
      <c r="B142" s="8"/>
      <c r="C142" s="8" t="s">
        <v>10</v>
      </c>
      <c r="D142" s="31">
        <f t="shared" ref="D142:I142" si="20">SUM(D138:D140)</f>
        <v>16185.69</v>
      </c>
      <c r="E142" s="31">
        <f t="shared" si="20"/>
        <v>8.3699999999999992</v>
      </c>
      <c r="F142" s="31">
        <f t="shared" si="20"/>
        <v>0</v>
      </c>
      <c r="G142" s="31">
        <f t="shared" si="20"/>
        <v>0</v>
      </c>
      <c r="H142" s="31">
        <f t="shared" si="20"/>
        <v>0</v>
      </c>
      <c r="I142" s="31">
        <f t="shared" si="20"/>
        <v>0</v>
      </c>
      <c r="J142" s="31">
        <f>SUM(D142:I142)</f>
        <v>16194.060000000001</v>
      </c>
      <c r="K142" s="8"/>
      <c r="L142" s="8"/>
    </row>
    <row r="143" spans="1:12" ht="15.75" thickTop="1">
      <c r="A143" s="8"/>
      <c r="B143" s="8"/>
      <c r="C143" s="8"/>
      <c r="D143" s="20"/>
      <c r="E143" s="20"/>
      <c r="F143" s="20"/>
      <c r="G143" s="20"/>
      <c r="H143" s="20"/>
      <c r="I143" s="20"/>
      <c r="J143" s="20"/>
      <c r="K143" s="8"/>
      <c r="L143" s="8"/>
    </row>
    <row r="144" spans="1:12">
      <c r="A144" s="8"/>
      <c r="B144" s="8"/>
      <c r="C144" s="8"/>
      <c r="D144" s="20"/>
      <c r="E144" s="20"/>
      <c r="F144" s="20"/>
      <c r="G144" s="20"/>
      <c r="H144" s="20"/>
      <c r="I144" s="20"/>
      <c r="J144" s="20"/>
      <c r="K144" s="8"/>
      <c r="L144" s="8"/>
    </row>
    <row r="145" spans="1:12">
      <c r="A145" s="8">
        <v>42</v>
      </c>
      <c r="B145" s="8" t="s">
        <v>36</v>
      </c>
      <c r="C145" s="8" t="s">
        <v>12</v>
      </c>
      <c r="D145" s="39">
        <v>13056.87</v>
      </c>
      <c r="E145" s="20">
        <v>238.76</v>
      </c>
      <c r="F145" s="39">
        <v>0</v>
      </c>
      <c r="G145" s="20">
        <v>0</v>
      </c>
      <c r="H145" s="20">
        <v>0</v>
      </c>
      <c r="I145" s="20">
        <v>0</v>
      </c>
      <c r="J145" s="20">
        <f>SUM(D145:I145)</f>
        <v>13295.630000000001</v>
      </c>
      <c r="K145" s="8"/>
      <c r="L145" s="8"/>
    </row>
    <row r="146" spans="1:12" ht="15.75" thickBot="1">
      <c r="A146" s="8"/>
      <c r="B146" s="8"/>
      <c r="C146" s="8" t="s">
        <v>13</v>
      </c>
      <c r="D146" s="29">
        <v>869.9</v>
      </c>
      <c r="E146" s="29">
        <v>14.32</v>
      </c>
      <c r="F146" s="29">
        <v>0</v>
      </c>
      <c r="G146" s="29">
        <v>0</v>
      </c>
      <c r="H146" s="29">
        <v>0</v>
      </c>
      <c r="I146" s="29">
        <v>0</v>
      </c>
      <c r="J146" s="29">
        <f>SUM(D146:I146)</f>
        <v>884.22</v>
      </c>
      <c r="K146" s="8"/>
      <c r="L146" s="8"/>
    </row>
    <row r="147" spans="1:12">
      <c r="A147" s="8"/>
      <c r="B147" s="8"/>
      <c r="C147" s="8"/>
      <c r="D147" s="20"/>
      <c r="E147" s="20"/>
      <c r="F147" s="20"/>
      <c r="G147" s="20"/>
      <c r="H147" s="20"/>
      <c r="I147" s="20"/>
      <c r="J147" s="20"/>
      <c r="K147" s="8"/>
      <c r="L147" s="8"/>
    </row>
    <row r="148" spans="1:12" ht="15.75" thickBot="1">
      <c r="A148" s="8"/>
      <c r="B148" s="8"/>
      <c r="C148" s="8" t="s">
        <v>10</v>
      </c>
      <c r="D148" s="31">
        <f t="shared" ref="D148:I148" si="21">SUM(D145:D146)</f>
        <v>13926.77</v>
      </c>
      <c r="E148" s="31">
        <f t="shared" si="21"/>
        <v>253.07999999999998</v>
      </c>
      <c r="F148" s="31">
        <f t="shared" si="21"/>
        <v>0</v>
      </c>
      <c r="G148" s="31">
        <f t="shared" si="21"/>
        <v>0</v>
      </c>
      <c r="H148" s="31">
        <f t="shared" si="21"/>
        <v>0</v>
      </c>
      <c r="I148" s="31">
        <f t="shared" si="21"/>
        <v>0</v>
      </c>
      <c r="J148" s="31">
        <f>SUM(D148:I148)</f>
        <v>14179.85</v>
      </c>
      <c r="K148" s="8"/>
      <c r="L148" s="8"/>
    </row>
    <row r="149" spans="1:12" ht="15.75" thickTop="1">
      <c r="A149" s="8"/>
      <c r="B149" s="8"/>
      <c r="C149" s="8"/>
      <c r="D149" s="20"/>
      <c r="E149" s="20"/>
      <c r="F149" s="20"/>
      <c r="G149" s="20"/>
      <c r="H149" s="20"/>
      <c r="I149" s="20"/>
      <c r="J149" s="20"/>
      <c r="K149" s="8"/>
      <c r="L149" s="8"/>
    </row>
    <row r="150" spans="1:12">
      <c r="A150" s="8"/>
      <c r="B150" s="8"/>
      <c r="C150" s="8"/>
      <c r="D150" s="20"/>
      <c r="E150" s="20"/>
      <c r="F150" s="20"/>
      <c r="G150" s="20"/>
      <c r="H150" s="20"/>
      <c r="I150" s="20"/>
      <c r="J150" s="20"/>
      <c r="K150" s="8"/>
      <c r="L150" s="8"/>
    </row>
    <row r="151" spans="1:12">
      <c r="A151" s="8">
        <v>43</v>
      </c>
      <c r="B151" s="8" t="s">
        <v>37</v>
      </c>
      <c r="C151" s="8" t="s">
        <v>12</v>
      </c>
      <c r="D151" s="20">
        <v>19551.740000000002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f>SUM(D151:I151)</f>
        <v>19551.740000000002</v>
      </c>
      <c r="K151" s="8"/>
      <c r="L151" s="8"/>
    </row>
    <row r="152" spans="1:12" hidden="1">
      <c r="A152" s="8"/>
      <c r="B152" s="8"/>
      <c r="C152" s="8" t="s">
        <v>35</v>
      </c>
      <c r="D152" s="20"/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f>SUM(D152:I152)</f>
        <v>0</v>
      </c>
      <c r="K152" s="8"/>
      <c r="L152" s="8"/>
    </row>
    <row r="153" spans="1:12" ht="15.75" thickBot="1">
      <c r="A153" s="8"/>
      <c r="B153" s="8"/>
      <c r="C153" s="8" t="s">
        <v>13</v>
      </c>
      <c r="D153" s="29">
        <v>553.97</v>
      </c>
      <c r="E153" s="29">
        <v>0.01</v>
      </c>
      <c r="F153" s="50">
        <v>0</v>
      </c>
      <c r="G153" s="29">
        <v>0</v>
      </c>
      <c r="H153" s="29">
        <v>0</v>
      </c>
      <c r="I153" s="29">
        <v>0</v>
      </c>
      <c r="J153" s="29">
        <f>SUM(D153:I153)</f>
        <v>553.98</v>
      </c>
      <c r="K153" s="8"/>
      <c r="L153" s="8"/>
    </row>
    <row r="154" spans="1:12" ht="15.75" hidden="1" thickBot="1">
      <c r="A154" s="8"/>
      <c r="B154" s="8"/>
      <c r="C154" s="8" t="s">
        <v>78</v>
      </c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f>SUM(D154:I154)</f>
        <v>0</v>
      </c>
      <c r="K154" s="8"/>
      <c r="L154" s="8"/>
    </row>
    <row r="155" spans="1:12">
      <c r="A155" s="8"/>
      <c r="B155" s="8"/>
      <c r="C155" s="8"/>
      <c r="D155" s="20"/>
      <c r="E155" s="20"/>
      <c r="F155" s="20"/>
      <c r="G155" s="20"/>
      <c r="H155" s="20"/>
      <c r="I155" s="20"/>
      <c r="J155" s="20"/>
      <c r="K155" s="8"/>
      <c r="L155" s="8"/>
    </row>
    <row r="156" spans="1:12" ht="15.75" thickBot="1">
      <c r="A156" s="8"/>
      <c r="B156" s="8"/>
      <c r="C156" s="8" t="s">
        <v>10</v>
      </c>
      <c r="D156" s="31">
        <f t="shared" ref="D156:I156" si="22">SUM(D151:D154)</f>
        <v>20105.710000000003</v>
      </c>
      <c r="E156" s="31">
        <f>SUM(E151:E154)</f>
        <v>0.01</v>
      </c>
      <c r="F156" s="31">
        <f t="shared" si="22"/>
        <v>0</v>
      </c>
      <c r="G156" s="31">
        <f t="shared" si="22"/>
        <v>0</v>
      </c>
      <c r="H156" s="31">
        <f t="shared" si="22"/>
        <v>0</v>
      </c>
      <c r="I156" s="31">
        <f t="shared" si="22"/>
        <v>0</v>
      </c>
      <c r="J156" s="31">
        <f>SUM(D156:I156)</f>
        <v>20105.72</v>
      </c>
      <c r="K156" s="8"/>
      <c r="L156" s="8"/>
    </row>
    <row r="157" spans="1:12" ht="15.75" thickTop="1">
      <c r="A157" s="8"/>
      <c r="B157" s="8"/>
      <c r="C157" s="8"/>
      <c r="D157" s="20"/>
      <c r="E157" s="20"/>
      <c r="F157" s="20"/>
      <c r="G157" s="20"/>
      <c r="H157" s="20"/>
      <c r="I157" s="20"/>
      <c r="J157" s="20"/>
      <c r="K157" s="8"/>
      <c r="L157" s="8"/>
    </row>
    <row r="158" spans="1:12">
      <c r="A158" s="8"/>
      <c r="B158" s="8"/>
      <c r="C158" s="8"/>
      <c r="D158" s="20"/>
      <c r="E158" s="20"/>
      <c r="F158" s="20"/>
      <c r="G158" s="20"/>
      <c r="H158" s="20"/>
      <c r="I158" s="20"/>
      <c r="J158" s="20"/>
      <c r="K158" s="8"/>
      <c r="L158" s="8"/>
    </row>
    <row r="159" spans="1:12" ht="15.75" thickBot="1">
      <c r="A159" s="8">
        <v>44</v>
      </c>
      <c r="B159" s="8" t="s">
        <v>38</v>
      </c>
      <c r="C159" s="8" t="s">
        <v>12</v>
      </c>
      <c r="D159" s="29">
        <v>22652.41</v>
      </c>
      <c r="E159" s="29">
        <v>676.84</v>
      </c>
      <c r="F159" s="29">
        <v>53.64</v>
      </c>
      <c r="G159" s="29">
        <v>0</v>
      </c>
      <c r="H159" s="29">
        <v>0</v>
      </c>
      <c r="I159" s="29">
        <v>0</v>
      </c>
      <c r="J159" s="29">
        <f>SUM(D159:I159)</f>
        <v>23382.89</v>
      </c>
      <c r="K159" s="8"/>
      <c r="L159" s="8"/>
    </row>
    <row r="160" spans="1:12">
      <c r="A160" s="8"/>
      <c r="B160" s="8"/>
      <c r="C160" s="8"/>
      <c r="D160" s="20"/>
      <c r="E160" s="20"/>
      <c r="F160" s="20"/>
      <c r="G160" s="20"/>
      <c r="H160" s="20"/>
      <c r="I160" s="20"/>
      <c r="J160" s="20"/>
      <c r="K160" s="8"/>
      <c r="L160" s="8"/>
    </row>
    <row r="161" spans="1:12" ht="15.75" thickBot="1">
      <c r="A161" s="8"/>
      <c r="B161" s="8"/>
      <c r="C161" s="8" t="s">
        <v>10</v>
      </c>
      <c r="D161" s="31">
        <f t="shared" ref="D161:I161" si="23">SUM(D159:D160)</f>
        <v>22652.41</v>
      </c>
      <c r="E161" s="31">
        <f t="shared" si="23"/>
        <v>676.84</v>
      </c>
      <c r="F161" s="31">
        <f t="shared" si="23"/>
        <v>53.64</v>
      </c>
      <c r="G161" s="31">
        <f t="shared" si="23"/>
        <v>0</v>
      </c>
      <c r="H161" s="31">
        <f t="shared" si="23"/>
        <v>0</v>
      </c>
      <c r="I161" s="31">
        <f t="shared" si="23"/>
        <v>0</v>
      </c>
      <c r="J161" s="31">
        <f>SUM(D161:I161)</f>
        <v>23382.89</v>
      </c>
      <c r="K161" s="8"/>
      <c r="L161" s="8"/>
    </row>
    <row r="162" spans="1:12" ht="15.75" thickTop="1">
      <c r="A162" s="8"/>
      <c r="B162" s="8"/>
      <c r="C162" s="8"/>
      <c r="D162" s="20"/>
      <c r="E162" s="20"/>
      <c r="F162" s="20"/>
      <c r="G162" s="20" t="s">
        <v>70</v>
      </c>
      <c r="H162" s="20" t="s">
        <v>70</v>
      </c>
      <c r="I162" s="20" t="s">
        <v>70</v>
      </c>
      <c r="J162" s="20"/>
      <c r="K162" s="8"/>
      <c r="L162" s="8"/>
    </row>
    <row r="163" spans="1:12">
      <c r="A163" s="8"/>
      <c r="B163" s="8"/>
      <c r="C163" s="8"/>
      <c r="D163" s="20"/>
      <c r="E163" s="20"/>
      <c r="F163" s="20"/>
      <c r="G163" s="20"/>
      <c r="H163" s="20"/>
      <c r="I163" s="20"/>
      <c r="J163" s="20"/>
      <c r="K163" s="8"/>
      <c r="L163" s="8"/>
    </row>
    <row r="164" spans="1:12">
      <c r="A164" s="8">
        <v>45</v>
      </c>
      <c r="B164" s="8" t="s">
        <v>39</v>
      </c>
      <c r="C164" s="8" t="s">
        <v>12</v>
      </c>
      <c r="D164" s="20">
        <v>11526.01</v>
      </c>
      <c r="E164" s="20">
        <v>0.01</v>
      </c>
      <c r="F164" s="20">
        <v>0</v>
      </c>
      <c r="G164" s="20">
        <v>0</v>
      </c>
      <c r="H164" s="20">
        <v>0</v>
      </c>
      <c r="I164" s="20">
        <v>0</v>
      </c>
      <c r="J164" s="20">
        <f>SUM(D164:I164)</f>
        <v>11526.02</v>
      </c>
      <c r="K164" s="8"/>
      <c r="L164" s="8"/>
    </row>
    <row r="165" spans="1:12" ht="15.75" thickBot="1">
      <c r="A165" s="8"/>
      <c r="B165" s="8"/>
      <c r="C165" s="38" t="s">
        <v>116</v>
      </c>
      <c r="D165" s="29">
        <v>5698.98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f>SUM(D165:I165)</f>
        <v>5698.98</v>
      </c>
      <c r="K165" s="8"/>
      <c r="L165" s="8"/>
    </row>
    <row r="166" spans="1:12">
      <c r="A166" s="8"/>
      <c r="B166" s="8"/>
      <c r="C166" s="8"/>
      <c r="D166" s="20"/>
      <c r="E166" s="20"/>
      <c r="F166" s="20"/>
      <c r="G166" s="20"/>
      <c r="H166" s="20"/>
      <c r="I166" s="20"/>
      <c r="J166" s="20"/>
      <c r="K166" s="8"/>
      <c r="L166" s="8"/>
    </row>
    <row r="167" spans="1:12" ht="15.75" thickBot="1">
      <c r="A167" s="8"/>
      <c r="B167" s="8"/>
      <c r="C167" s="8" t="s">
        <v>10</v>
      </c>
      <c r="D167" s="31">
        <f t="shared" ref="D167:I167" si="24">SUM(D164:D166)</f>
        <v>17224.989999999998</v>
      </c>
      <c r="E167" s="31">
        <f t="shared" si="24"/>
        <v>0.01</v>
      </c>
      <c r="F167" s="31">
        <f t="shared" si="24"/>
        <v>0</v>
      </c>
      <c r="G167" s="31">
        <f t="shared" si="24"/>
        <v>0</v>
      </c>
      <c r="H167" s="31">
        <f t="shared" si="24"/>
        <v>0</v>
      </c>
      <c r="I167" s="31">
        <f t="shared" si="24"/>
        <v>0</v>
      </c>
      <c r="J167" s="31">
        <f>SUM(D167:I167)</f>
        <v>17224.999999999996</v>
      </c>
      <c r="K167" s="8"/>
      <c r="L167" s="8"/>
    </row>
    <row r="168" spans="1:12" ht="15.75" thickTop="1">
      <c r="A168" s="8"/>
      <c r="B168" s="8"/>
      <c r="C168" s="8"/>
      <c r="D168" s="20"/>
      <c r="E168" s="20"/>
      <c r="F168" s="20"/>
      <c r="G168" s="20"/>
      <c r="H168" s="20"/>
      <c r="I168" s="20"/>
      <c r="J168" s="20"/>
      <c r="K168" s="8"/>
      <c r="L168" s="8"/>
    </row>
    <row r="169" spans="1:12">
      <c r="A169" s="8"/>
      <c r="B169" s="8"/>
      <c r="C169" s="8"/>
      <c r="D169" s="20"/>
      <c r="E169" s="20"/>
      <c r="F169" s="20"/>
      <c r="G169" s="20"/>
      <c r="H169" s="20"/>
      <c r="I169" s="20"/>
      <c r="J169" s="20"/>
      <c r="K169" s="8"/>
      <c r="L169" s="8"/>
    </row>
    <row r="170" spans="1:12" ht="15.75" thickBot="1">
      <c r="A170" s="8">
        <v>46</v>
      </c>
      <c r="B170" s="8" t="s">
        <v>40</v>
      </c>
      <c r="C170" s="8" t="s">
        <v>12</v>
      </c>
      <c r="D170" s="29">
        <v>11820.9</v>
      </c>
      <c r="E170" s="29">
        <v>0.01</v>
      </c>
      <c r="F170" s="29">
        <v>0</v>
      </c>
      <c r="G170" s="29">
        <v>0</v>
      </c>
      <c r="H170" s="29">
        <v>0</v>
      </c>
      <c r="I170" s="29">
        <v>0</v>
      </c>
      <c r="J170" s="29">
        <f>SUM(D170:I170)</f>
        <v>11820.91</v>
      </c>
      <c r="K170" s="8"/>
      <c r="L170" s="8"/>
    </row>
    <row r="171" spans="1:12">
      <c r="A171" s="8"/>
      <c r="B171" s="8"/>
      <c r="C171" s="8"/>
      <c r="D171" s="20"/>
      <c r="E171" s="20"/>
      <c r="F171" s="20"/>
      <c r="G171" s="20"/>
      <c r="H171" s="20"/>
      <c r="I171" s="20"/>
      <c r="J171" s="20"/>
      <c r="K171" s="8"/>
      <c r="L171" s="8"/>
    </row>
    <row r="172" spans="1:12" ht="15.75" thickBot="1">
      <c r="A172" s="8"/>
      <c r="B172" s="8"/>
      <c r="C172" s="8" t="s">
        <v>10</v>
      </c>
      <c r="D172" s="31">
        <f t="shared" ref="D172:I172" si="25">SUM(D170:D171)</f>
        <v>11820.9</v>
      </c>
      <c r="E172" s="31">
        <f t="shared" si="25"/>
        <v>0.01</v>
      </c>
      <c r="F172" s="31">
        <f t="shared" si="25"/>
        <v>0</v>
      </c>
      <c r="G172" s="31">
        <f t="shared" si="25"/>
        <v>0</v>
      </c>
      <c r="H172" s="31">
        <f t="shared" si="25"/>
        <v>0</v>
      </c>
      <c r="I172" s="31">
        <f t="shared" si="25"/>
        <v>0</v>
      </c>
      <c r="J172" s="31">
        <f>SUM(D172:I172)</f>
        <v>11820.91</v>
      </c>
      <c r="K172" s="8"/>
      <c r="L172" s="8"/>
    </row>
    <row r="173" spans="1:12" ht="15.75" thickTop="1">
      <c r="A173" s="8"/>
      <c r="B173" s="8"/>
      <c r="C173" s="8"/>
      <c r="D173" s="20"/>
      <c r="E173" s="20"/>
      <c r="F173" s="20"/>
      <c r="G173" s="20"/>
      <c r="H173" s="20"/>
      <c r="I173" s="20"/>
      <c r="J173" s="20"/>
      <c r="K173" s="8"/>
      <c r="L173" s="8"/>
    </row>
    <row r="174" spans="1:12">
      <c r="A174" s="8"/>
      <c r="B174" s="8"/>
      <c r="C174" s="8"/>
      <c r="D174" s="20"/>
      <c r="E174" s="20"/>
      <c r="F174" s="20"/>
      <c r="G174" s="20"/>
      <c r="H174" s="20"/>
      <c r="I174" s="20"/>
      <c r="J174" s="20"/>
      <c r="K174" s="8"/>
      <c r="L174" s="8"/>
    </row>
    <row r="175" spans="1:12" ht="15.75" thickBot="1">
      <c r="A175" s="8">
        <v>47</v>
      </c>
      <c r="B175" s="8" t="s">
        <v>41</v>
      </c>
      <c r="C175" s="8" t="s">
        <v>12</v>
      </c>
      <c r="D175" s="29">
        <v>9637.61</v>
      </c>
      <c r="E175" s="29">
        <v>555.78</v>
      </c>
      <c r="F175" s="29">
        <v>0</v>
      </c>
      <c r="G175" s="29">
        <v>0</v>
      </c>
      <c r="H175" s="29">
        <v>0</v>
      </c>
      <c r="I175" s="29">
        <v>0</v>
      </c>
      <c r="J175" s="29">
        <f>SUM(D175:I175)</f>
        <v>10193.390000000001</v>
      </c>
      <c r="K175" s="8"/>
      <c r="L175" s="8"/>
    </row>
    <row r="176" spans="1:12">
      <c r="A176" s="8"/>
      <c r="B176" s="8"/>
      <c r="C176" s="8"/>
      <c r="D176" s="20"/>
      <c r="E176" s="20"/>
      <c r="F176" s="20"/>
      <c r="G176" s="20"/>
      <c r="H176" s="20"/>
      <c r="I176" s="20"/>
      <c r="J176" s="20"/>
      <c r="K176" s="8"/>
      <c r="L176" s="8"/>
    </row>
    <row r="177" spans="1:12" ht="15.75" thickBot="1">
      <c r="A177" s="8"/>
      <c r="B177" s="8"/>
      <c r="C177" s="8" t="s">
        <v>10</v>
      </c>
      <c r="D177" s="31">
        <f t="shared" ref="D177:I177" si="26">SUM(D175:D176)</f>
        <v>9637.61</v>
      </c>
      <c r="E177" s="31">
        <f t="shared" si="26"/>
        <v>555.78</v>
      </c>
      <c r="F177" s="31">
        <f t="shared" si="26"/>
        <v>0</v>
      </c>
      <c r="G177" s="31">
        <f t="shared" si="26"/>
        <v>0</v>
      </c>
      <c r="H177" s="31">
        <f t="shared" si="26"/>
        <v>0</v>
      </c>
      <c r="I177" s="31">
        <f t="shared" si="26"/>
        <v>0</v>
      </c>
      <c r="J177" s="31">
        <f>SUM(D177:I177)</f>
        <v>10193.390000000001</v>
      </c>
      <c r="K177" s="8"/>
      <c r="L177" s="8"/>
    </row>
    <row r="178" spans="1:12" ht="15.75" thickTop="1">
      <c r="A178" s="8"/>
      <c r="B178" s="8"/>
      <c r="C178" s="8"/>
      <c r="D178" s="20"/>
      <c r="E178" s="20"/>
      <c r="F178" s="20"/>
      <c r="G178" s="20"/>
      <c r="H178" s="20"/>
      <c r="I178" s="20"/>
      <c r="J178" s="20"/>
      <c r="K178" s="8"/>
      <c r="L178" s="8"/>
    </row>
    <row r="179" spans="1:12">
      <c r="A179" s="8"/>
      <c r="B179" s="8"/>
      <c r="C179" s="8"/>
      <c r="D179" s="20"/>
      <c r="E179" s="20"/>
      <c r="F179" s="20"/>
      <c r="G179" s="20"/>
      <c r="H179" s="20"/>
      <c r="I179" s="20"/>
      <c r="J179" s="20"/>
      <c r="K179" s="8"/>
      <c r="L179" s="8"/>
    </row>
    <row r="180" spans="1:12" ht="15.75" thickBot="1">
      <c r="A180" s="8">
        <v>48</v>
      </c>
      <c r="B180" s="8" t="s">
        <v>42</v>
      </c>
      <c r="C180" s="8" t="s">
        <v>12</v>
      </c>
      <c r="D180" s="29">
        <v>8933.7999999999993</v>
      </c>
      <c r="E180" s="29">
        <v>230.96</v>
      </c>
      <c r="F180" s="29">
        <v>0</v>
      </c>
      <c r="G180" s="29">
        <v>0</v>
      </c>
      <c r="H180" s="29">
        <v>0</v>
      </c>
      <c r="I180" s="29">
        <v>0</v>
      </c>
      <c r="J180" s="29">
        <f>SUM(D180:I180)</f>
        <v>9164.7599999999984</v>
      </c>
      <c r="K180" s="8"/>
      <c r="L180" s="8"/>
    </row>
    <row r="181" spans="1:12">
      <c r="A181" s="8"/>
      <c r="B181" s="8"/>
      <c r="C181" s="8"/>
      <c r="D181" s="20"/>
      <c r="E181" s="20"/>
      <c r="F181" s="20"/>
      <c r="G181" s="20"/>
      <c r="H181" s="20"/>
      <c r="I181" s="20"/>
      <c r="J181" s="20"/>
      <c r="K181" s="8"/>
      <c r="L181" s="8"/>
    </row>
    <row r="182" spans="1:12" ht="15.75" thickBot="1">
      <c r="A182" s="8"/>
      <c r="B182" s="8"/>
      <c r="C182" s="8"/>
      <c r="D182" s="31">
        <f t="shared" ref="D182:I182" si="27">SUM(D180:D181)</f>
        <v>8933.7999999999993</v>
      </c>
      <c r="E182" s="31">
        <f t="shared" si="27"/>
        <v>230.96</v>
      </c>
      <c r="F182" s="31">
        <f t="shared" si="27"/>
        <v>0</v>
      </c>
      <c r="G182" s="31">
        <f t="shared" si="27"/>
        <v>0</v>
      </c>
      <c r="H182" s="31">
        <f t="shared" si="27"/>
        <v>0</v>
      </c>
      <c r="I182" s="31">
        <f t="shared" si="27"/>
        <v>0</v>
      </c>
      <c r="J182" s="31">
        <f>SUM(D182:I182)</f>
        <v>9164.7599999999984</v>
      </c>
      <c r="K182" s="8"/>
      <c r="L182" s="8"/>
    </row>
    <row r="183" spans="1:12" ht="15.75" thickTop="1">
      <c r="A183" s="8"/>
      <c r="B183" s="8"/>
      <c r="C183" s="8"/>
      <c r="D183" s="20"/>
      <c r="E183" s="20"/>
      <c r="F183" s="20"/>
      <c r="G183" s="20"/>
      <c r="H183" s="20"/>
      <c r="I183" s="20"/>
      <c r="J183" s="20"/>
      <c r="K183" s="8"/>
      <c r="L183" s="8"/>
    </row>
    <row r="184" spans="1:12">
      <c r="A184" s="8"/>
      <c r="B184" s="8"/>
      <c r="C184" s="8"/>
      <c r="D184" s="20"/>
      <c r="E184" s="20"/>
      <c r="F184" s="20"/>
      <c r="G184" s="20"/>
      <c r="H184" s="20"/>
      <c r="I184" s="20"/>
      <c r="J184" s="20"/>
      <c r="K184" s="8"/>
      <c r="L184" s="8"/>
    </row>
    <row r="185" spans="1:12" ht="15.75" thickBot="1">
      <c r="A185" s="8">
        <v>49</v>
      </c>
      <c r="B185" s="8" t="s">
        <v>43</v>
      </c>
      <c r="C185" s="8" t="s">
        <v>12</v>
      </c>
      <c r="D185" s="29">
        <v>22423.1</v>
      </c>
      <c r="E185" s="29">
        <v>457.19</v>
      </c>
      <c r="F185" s="29">
        <v>0</v>
      </c>
      <c r="G185" s="29">
        <v>0</v>
      </c>
      <c r="H185" s="29">
        <v>0</v>
      </c>
      <c r="I185" s="29">
        <v>0</v>
      </c>
      <c r="J185" s="29">
        <f>SUM(D185:I185)</f>
        <v>22880.289999999997</v>
      </c>
      <c r="K185" s="8"/>
      <c r="L185" s="8"/>
    </row>
    <row r="186" spans="1:12">
      <c r="A186" s="8"/>
      <c r="B186" s="8"/>
      <c r="C186" s="8"/>
      <c r="D186" s="20"/>
      <c r="E186" s="20"/>
      <c r="F186" s="20"/>
      <c r="G186" s="20"/>
      <c r="H186" s="20"/>
      <c r="I186" s="20"/>
      <c r="J186" s="20"/>
      <c r="K186" s="8"/>
      <c r="L186" s="8"/>
    </row>
    <row r="187" spans="1:12" ht="15.75" thickBot="1">
      <c r="A187" s="8"/>
      <c r="B187" s="8"/>
      <c r="C187" s="8" t="s">
        <v>10</v>
      </c>
      <c r="D187" s="31">
        <f t="shared" ref="D187:I187" si="28">SUM(D185:D186)</f>
        <v>22423.1</v>
      </c>
      <c r="E187" s="31">
        <f t="shared" si="28"/>
        <v>457.19</v>
      </c>
      <c r="F187" s="31">
        <f t="shared" si="28"/>
        <v>0</v>
      </c>
      <c r="G187" s="31">
        <f t="shared" si="28"/>
        <v>0</v>
      </c>
      <c r="H187" s="31">
        <f t="shared" si="28"/>
        <v>0</v>
      </c>
      <c r="I187" s="31">
        <f t="shared" si="28"/>
        <v>0</v>
      </c>
      <c r="J187" s="31">
        <f>SUM(D187:I187)</f>
        <v>22880.289999999997</v>
      </c>
      <c r="K187" s="8"/>
      <c r="L187" s="8"/>
    </row>
    <row r="188" spans="1:12" ht="15.75" thickTop="1">
      <c r="A188" s="8"/>
      <c r="B188" s="8"/>
      <c r="C188" s="8"/>
      <c r="D188" s="20"/>
      <c r="E188" s="20"/>
      <c r="F188" s="20"/>
      <c r="G188" s="20"/>
      <c r="H188" s="20"/>
      <c r="I188" s="20"/>
      <c r="J188" s="20"/>
      <c r="K188" s="8"/>
      <c r="L188" s="8"/>
    </row>
    <row r="189" spans="1:12">
      <c r="A189" s="8"/>
      <c r="B189" s="8"/>
      <c r="C189" s="8"/>
      <c r="D189" s="20"/>
      <c r="E189" s="20"/>
      <c r="F189" s="20"/>
      <c r="G189" s="20"/>
      <c r="H189" s="20"/>
      <c r="I189" s="20"/>
      <c r="J189" s="20"/>
      <c r="K189" s="8"/>
      <c r="L189" s="8"/>
    </row>
    <row r="190" spans="1:12">
      <c r="A190" s="8">
        <v>50</v>
      </c>
      <c r="B190" s="8" t="s">
        <v>44</v>
      </c>
      <c r="C190" s="8" t="s">
        <v>12</v>
      </c>
      <c r="D190" s="20">
        <v>5855.29</v>
      </c>
      <c r="E190" s="20">
        <v>0.01</v>
      </c>
      <c r="F190" s="20">
        <v>0</v>
      </c>
      <c r="G190" s="20">
        <v>0</v>
      </c>
      <c r="H190" s="20">
        <v>0</v>
      </c>
      <c r="I190" s="20">
        <v>0</v>
      </c>
      <c r="J190" s="20">
        <f>SUM(D190:I190)</f>
        <v>5855.3</v>
      </c>
      <c r="K190" s="8"/>
      <c r="L190" s="8"/>
    </row>
    <row r="191" spans="1:12" ht="15.75" thickBot="1">
      <c r="A191" s="8"/>
      <c r="B191" s="8"/>
      <c r="C191" s="8" t="s">
        <v>13</v>
      </c>
      <c r="D191" s="29">
        <v>25.5</v>
      </c>
      <c r="E191" s="29">
        <v>0.01</v>
      </c>
      <c r="F191" s="29">
        <v>0</v>
      </c>
      <c r="G191" s="29">
        <v>0</v>
      </c>
      <c r="H191" s="29">
        <v>0</v>
      </c>
      <c r="I191" s="29">
        <v>0</v>
      </c>
      <c r="J191" s="29">
        <f>SUM(D191:I191)</f>
        <v>25.51</v>
      </c>
      <c r="K191" s="8"/>
      <c r="L191" s="8"/>
    </row>
    <row r="192" spans="1:12">
      <c r="A192" s="8"/>
      <c r="B192" s="8"/>
      <c r="C192" s="8"/>
      <c r="D192" s="20"/>
      <c r="E192" s="20"/>
      <c r="F192" s="20"/>
      <c r="G192" s="20"/>
      <c r="H192" s="20"/>
      <c r="I192" s="20"/>
      <c r="J192" s="20"/>
      <c r="K192" s="8"/>
      <c r="L192" s="8"/>
    </row>
    <row r="193" spans="1:12" ht="15.75" thickBot="1">
      <c r="A193" s="8"/>
      <c r="B193" s="8"/>
      <c r="C193" s="8" t="s">
        <v>10</v>
      </c>
      <c r="D193" s="31">
        <f t="shared" ref="D193:I193" si="29">SUM(D190:D191)</f>
        <v>5880.79</v>
      </c>
      <c r="E193" s="31">
        <f t="shared" si="29"/>
        <v>0.02</v>
      </c>
      <c r="F193" s="31">
        <f t="shared" si="29"/>
        <v>0</v>
      </c>
      <c r="G193" s="31">
        <f t="shared" si="29"/>
        <v>0</v>
      </c>
      <c r="H193" s="31">
        <f t="shared" si="29"/>
        <v>0</v>
      </c>
      <c r="I193" s="31">
        <f t="shared" si="29"/>
        <v>0</v>
      </c>
      <c r="J193" s="31">
        <f>SUM(D193:I193)</f>
        <v>5880.81</v>
      </c>
      <c r="K193" s="8"/>
      <c r="L193" s="8"/>
    </row>
    <row r="194" spans="1:12" ht="15.75" thickTop="1">
      <c r="A194" s="8"/>
      <c r="B194" s="8"/>
      <c r="C194" s="8"/>
      <c r="D194" s="20"/>
      <c r="E194" s="20"/>
      <c r="F194" s="20"/>
      <c r="G194" s="20"/>
      <c r="H194" s="20"/>
      <c r="I194" s="20"/>
      <c r="J194" s="20"/>
      <c r="K194" s="8"/>
      <c r="L194" s="8"/>
    </row>
    <row r="195" spans="1:12">
      <c r="A195" s="8"/>
      <c r="B195" s="8"/>
      <c r="C195" s="8"/>
      <c r="D195" s="20"/>
      <c r="E195" s="20"/>
      <c r="F195" s="20"/>
      <c r="G195" s="20"/>
      <c r="H195" s="20"/>
      <c r="I195" s="20"/>
      <c r="J195" s="20"/>
      <c r="K195" s="8"/>
      <c r="L195" s="8"/>
    </row>
    <row r="196" spans="1:12" ht="15.75" thickBot="1">
      <c r="A196" s="8">
        <v>51</v>
      </c>
      <c r="B196" s="8" t="s">
        <v>45</v>
      </c>
      <c r="C196" s="8" t="s">
        <v>12</v>
      </c>
      <c r="D196" s="29">
        <v>10040.700000000001</v>
      </c>
      <c r="E196" s="29">
        <v>1.8</v>
      </c>
      <c r="F196" s="29">
        <v>0</v>
      </c>
      <c r="G196" s="29">
        <v>0</v>
      </c>
      <c r="H196" s="29">
        <v>0</v>
      </c>
      <c r="I196" s="29">
        <v>0</v>
      </c>
      <c r="J196" s="29">
        <f>SUM(D196:I196)</f>
        <v>10042.5</v>
      </c>
      <c r="K196" s="8"/>
      <c r="L196" s="8"/>
    </row>
    <row r="197" spans="1:12" hidden="1">
      <c r="A197" s="8"/>
      <c r="B197" s="8"/>
      <c r="C197" s="8" t="s">
        <v>13</v>
      </c>
      <c r="D197" s="20"/>
      <c r="E197" s="20"/>
      <c r="F197" s="20"/>
      <c r="G197" s="20"/>
      <c r="H197" s="20"/>
      <c r="I197" s="20"/>
      <c r="J197" s="20">
        <f>SUM(D197:I197)</f>
        <v>0</v>
      </c>
      <c r="K197" s="8"/>
      <c r="L197" s="8"/>
    </row>
    <row r="198" spans="1:12" ht="15.75" hidden="1" thickBot="1">
      <c r="A198" s="8"/>
      <c r="B198" s="8"/>
      <c r="C198" s="8" t="s">
        <v>46</v>
      </c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29">
        <f>SUM(D198:I198)</f>
        <v>0</v>
      </c>
      <c r="K198" s="8"/>
      <c r="L198" s="8"/>
    </row>
    <row r="199" spans="1:12">
      <c r="A199" s="8"/>
      <c r="B199" s="8"/>
      <c r="C199" s="8"/>
      <c r="D199" s="20"/>
      <c r="E199" s="20"/>
      <c r="F199" s="20"/>
      <c r="G199" s="20"/>
      <c r="H199" s="20"/>
      <c r="I199" s="20"/>
      <c r="J199" s="20"/>
      <c r="K199" s="8"/>
      <c r="L199" s="8"/>
    </row>
    <row r="200" spans="1:12" ht="15.75" thickBot="1">
      <c r="A200" s="8"/>
      <c r="B200" s="8"/>
      <c r="C200" s="8" t="s">
        <v>10</v>
      </c>
      <c r="D200" s="31">
        <f t="shared" ref="D200:I200" si="30">SUM(D196:D198)</f>
        <v>10040.700000000001</v>
      </c>
      <c r="E200" s="31">
        <f t="shared" si="30"/>
        <v>1.8</v>
      </c>
      <c r="F200" s="31">
        <f t="shared" si="30"/>
        <v>0</v>
      </c>
      <c r="G200" s="31">
        <f t="shared" si="30"/>
        <v>0</v>
      </c>
      <c r="H200" s="31">
        <f t="shared" si="30"/>
        <v>0</v>
      </c>
      <c r="I200" s="31">
        <f t="shared" si="30"/>
        <v>0</v>
      </c>
      <c r="J200" s="31">
        <f>SUM(D200:I200)</f>
        <v>10042.5</v>
      </c>
      <c r="K200" s="8"/>
      <c r="L200" s="8"/>
    </row>
    <row r="201" spans="1:12" ht="15.75" thickTop="1">
      <c r="A201" s="8"/>
      <c r="B201" s="8"/>
      <c r="C201" s="8"/>
      <c r="D201" s="20"/>
      <c r="E201" s="20"/>
      <c r="F201" s="20"/>
      <c r="G201" s="20"/>
      <c r="H201" s="20"/>
      <c r="I201" s="20"/>
      <c r="J201" s="20"/>
      <c r="K201" s="8"/>
      <c r="L201" s="8"/>
    </row>
    <row r="202" spans="1:12">
      <c r="A202" s="8"/>
      <c r="B202" s="8"/>
      <c r="C202" s="8"/>
      <c r="D202" s="20"/>
      <c r="E202" s="20"/>
      <c r="F202" s="20"/>
      <c r="G202" s="20"/>
      <c r="H202" s="20"/>
      <c r="I202" s="20"/>
      <c r="J202" s="20"/>
      <c r="K202" s="8"/>
      <c r="L202" s="8"/>
    </row>
    <row r="203" spans="1:12">
      <c r="A203" s="8">
        <v>52</v>
      </c>
      <c r="B203" s="8" t="s">
        <v>47</v>
      </c>
      <c r="C203" s="8" t="s">
        <v>12</v>
      </c>
      <c r="D203" s="25">
        <v>16060.9</v>
      </c>
      <c r="E203" s="25">
        <v>17.32</v>
      </c>
      <c r="F203" s="25">
        <v>12.06</v>
      </c>
      <c r="G203" s="25">
        <v>0</v>
      </c>
      <c r="H203" s="25">
        <v>0</v>
      </c>
      <c r="I203" s="25">
        <v>0</v>
      </c>
      <c r="J203" s="25">
        <f>SUM(D203:I203)</f>
        <v>16090.279999999999</v>
      </c>
      <c r="K203" s="8"/>
      <c r="L203" s="8"/>
    </row>
    <row r="204" spans="1:12" ht="15.75" hidden="1" thickBot="1">
      <c r="A204" s="8"/>
      <c r="B204" s="8"/>
      <c r="C204" s="8" t="s">
        <v>13</v>
      </c>
      <c r="D204" s="29"/>
      <c r="E204" s="29"/>
      <c r="F204" s="29"/>
      <c r="G204" s="29"/>
      <c r="H204" s="29"/>
      <c r="I204" s="29"/>
      <c r="J204" s="29">
        <v>0</v>
      </c>
      <c r="K204" s="8"/>
      <c r="L204" s="8"/>
    </row>
    <row r="205" spans="1:12">
      <c r="A205" s="8"/>
      <c r="B205" s="8"/>
      <c r="C205" s="8"/>
      <c r="D205" s="20"/>
      <c r="E205" s="20"/>
      <c r="F205" s="20"/>
      <c r="G205" s="20"/>
      <c r="H205" s="20"/>
      <c r="I205" s="20"/>
      <c r="J205" s="20"/>
      <c r="K205" s="8"/>
      <c r="L205" s="8"/>
    </row>
    <row r="206" spans="1:12" ht="15.75" thickBot="1">
      <c r="A206" s="8"/>
      <c r="B206" s="8"/>
      <c r="C206" s="8" t="s">
        <v>10</v>
      </c>
      <c r="D206" s="31">
        <f t="shared" ref="D206:I206" si="31">SUM(D203:D204)</f>
        <v>16060.9</v>
      </c>
      <c r="E206" s="31">
        <f t="shared" si="31"/>
        <v>17.32</v>
      </c>
      <c r="F206" s="31">
        <f t="shared" si="31"/>
        <v>12.06</v>
      </c>
      <c r="G206" s="31">
        <f t="shared" si="31"/>
        <v>0</v>
      </c>
      <c r="H206" s="31">
        <f t="shared" si="31"/>
        <v>0</v>
      </c>
      <c r="I206" s="31">
        <f t="shared" si="31"/>
        <v>0</v>
      </c>
      <c r="J206" s="31">
        <f>SUM(D206:I206)</f>
        <v>16090.279999999999</v>
      </c>
      <c r="K206" s="8"/>
      <c r="L206" s="8"/>
    </row>
    <row r="207" spans="1:12" ht="15.75" thickTop="1">
      <c r="A207" s="8"/>
      <c r="B207" s="8"/>
      <c r="C207" s="8"/>
      <c r="D207" s="20"/>
      <c r="E207" s="20"/>
      <c r="F207" s="20"/>
      <c r="G207" s="20"/>
      <c r="H207" s="20"/>
      <c r="I207" s="20"/>
      <c r="J207" s="20"/>
      <c r="K207" s="8"/>
      <c r="L207" s="8"/>
    </row>
    <row r="208" spans="1:12">
      <c r="A208" s="8"/>
      <c r="B208" s="8"/>
      <c r="C208" s="8"/>
      <c r="D208" s="20"/>
      <c r="E208" s="20"/>
      <c r="F208" s="20"/>
      <c r="G208" s="20"/>
      <c r="H208" s="20"/>
      <c r="I208" s="20"/>
      <c r="J208" s="20"/>
      <c r="K208" s="8"/>
      <c r="L208" s="8"/>
    </row>
    <row r="209" spans="1:12" ht="15.75" thickBot="1">
      <c r="A209" s="8">
        <v>53</v>
      </c>
      <c r="B209" s="8" t="s">
        <v>48</v>
      </c>
      <c r="C209" s="8" t="s">
        <v>12</v>
      </c>
      <c r="D209" s="29">
        <v>34658.410000000003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f>SUM(D209:I209)</f>
        <v>34658.410000000003</v>
      </c>
      <c r="K209" s="8"/>
      <c r="L209" s="8"/>
    </row>
    <row r="210" spans="1:12" hidden="1">
      <c r="A210" s="8"/>
      <c r="B210" s="8"/>
      <c r="C210" s="8" t="s">
        <v>35</v>
      </c>
      <c r="D210" s="20">
        <v>0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f>SUM(D210:I210)</f>
        <v>0</v>
      </c>
      <c r="K210" s="8"/>
      <c r="L210" s="8"/>
    </row>
    <row r="211" spans="1:12" hidden="1">
      <c r="A211" s="8"/>
      <c r="B211" s="8"/>
      <c r="C211" s="8" t="s">
        <v>97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f>SUM(D211:I211)</f>
        <v>0</v>
      </c>
      <c r="K211" s="8"/>
      <c r="L211" s="8"/>
    </row>
    <row r="212" spans="1:12" ht="15.75" hidden="1" thickBot="1">
      <c r="A212" s="8"/>
      <c r="B212" s="8"/>
      <c r="C212" s="8" t="s">
        <v>98</v>
      </c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29">
        <f>SUM(D212:I212)</f>
        <v>0</v>
      </c>
      <c r="K212" s="8"/>
      <c r="L212" s="8"/>
    </row>
    <row r="213" spans="1:12">
      <c r="A213" s="8"/>
      <c r="B213" s="8"/>
      <c r="C213" s="8"/>
      <c r="D213" s="20"/>
      <c r="E213" s="20"/>
      <c r="F213" s="20"/>
      <c r="G213" s="20"/>
      <c r="H213" s="20"/>
      <c r="I213" s="20"/>
      <c r="J213" s="20"/>
      <c r="K213" s="8"/>
      <c r="L213" s="8"/>
    </row>
    <row r="214" spans="1:12" ht="15.75" thickBot="1">
      <c r="A214" s="8"/>
      <c r="B214" s="8"/>
      <c r="C214" s="8" t="s">
        <v>10</v>
      </c>
      <c r="D214" s="31">
        <f>SUM(D209:D213)</f>
        <v>34658.410000000003</v>
      </c>
      <c r="E214" s="31">
        <f t="shared" ref="E214:J214" si="32">SUM(E209:E213)</f>
        <v>0</v>
      </c>
      <c r="F214" s="31">
        <f t="shared" si="32"/>
        <v>0</v>
      </c>
      <c r="G214" s="31">
        <f t="shared" si="32"/>
        <v>0</v>
      </c>
      <c r="H214" s="31">
        <f t="shared" si="32"/>
        <v>0</v>
      </c>
      <c r="I214" s="31">
        <f t="shared" si="32"/>
        <v>0</v>
      </c>
      <c r="J214" s="31">
        <f t="shared" si="32"/>
        <v>34658.410000000003</v>
      </c>
      <c r="K214" s="8"/>
      <c r="L214" s="8"/>
    </row>
    <row r="215" spans="1:12" ht="15.75" thickTop="1">
      <c r="A215" s="8"/>
      <c r="B215" s="8"/>
      <c r="C215" s="8"/>
      <c r="D215" s="20"/>
      <c r="E215" s="20"/>
      <c r="F215" s="20"/>
      <c r="G215" s="20"/>
      <c r="H215" s="20"/>
      <c r="I215" s="20"/>
      <c r="J215" s="20"/>
      <c r="K215" s="8"/>
      <c r="L215" s="8"/>
    </row>
    <row r="216" spans="1:12">
      <c r="A216" s="8"/>
      <c r="B216" s="8"/>
      <c r="C216" s="8"/>
      <c r="D216" s="20"/>
      <c r="E216" s="20"/>
      <c r="F216" s="20"/>
      <c r="G216" s="20"/>
      <c r="H216" s="20"/>
      <c r="I216" s="20"/>
      <c r="J216" s="20"/>
      <c r="K216" s="8"/>
      <c r="L216" s="8"/>
    </row>
    <row r="217" spans="1:12">
      <c r="A217" s="8">
        <v>54</v>
      </c>
      <c r="B217" s="8" t="s">
        <v>49</v>
      </c>
      <c r="C217" s="8" t="s">
        <v>12</v>
      </c>
      <c r="D217" s="25">
        <v>7923.37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f>SUM(D217:I217)</f>
        <v>7923.37</v>
      </c>
      <c r="K217" s="8"/>
      <c r="L217" s="8"/>
    </row>
    <row r="218" spans="1:12" ht="15.75" hidden="1" thickBot="1">
      <c r="A218" s="8"/>
      <c r="B218" s="8"/>
      <c r="C218" s="8" t="s">
        <v>104</v>
      </c>
      <c r="D218" s="29"/>
      <c r="E218" s="29"/>
      <c r="F218" s="29"/>
      <c r="G218" s="29"/>
      <c r="H218" s="29"/>
      <c r="I218" s="29"/>
      <c r="J218" s="29">
        <f>SUM(D218:I218)</f>
        <v>0</v>
      </c>
      <c r="K218" s="8"/>
      <c r="L218" s="8"/>
    </row>
    <row r="219" spans="1:12">
      <c r="A219" s="8"/>
      <c r="B219" s="8"/>
      <c r="C219" s="8"/>
      <c r="D219" s="20"/>
      <c r="E219" s="20"/>
      <c r="F219" s="20"/>
      <c r="G219" s="20"/>
      <c r="H219" s="20"/>
      <c r="I219" s="20"/>
      <c r="J219" s="20"/>
      <c r="K219" s="8"/>
      <c r="L219" s="8"/>
    </row>
    <row r="220" spans="1:12" ht="15.75" thickBot="1">
      <c r="A220" s="8"/>
      <c r="B220" s="8"/>
      <c r="C220" s="8" t="s">
        <v>10</v>
      </c>
      <c r="D220" s="31">
        <f t="shared" ref="D220:I220" si="33">SUM(D217:D219)</f>
        <v>7923.37</v>
      </c>
      <c r="E220" s="31">
        <f t="shared" si="33"/>
        <v>0</v>
      </c>
      <c r="F220" s="31">
        <f t="shared" si="33"/>
        <v>0</v>
      </c>
      <c r="G220" s="31">
        <f t="shared" si="33"/>
        <v>0</v>
      </c>
      <c r="H220" s="31">
        <f t="shared" si="33"/>
        <v>0</v>
      </c>
      <c r="I220" s="31">
        <f t="shared" si="33"/>
        <v>0</v>
      </c>
      <c r="J220" s="31">
        <f>SUM(D220:I220)</f>
        <v>7923.37</v>
      </c>
      <c r="K220" s="8"/>
      <c r="L220" s="8"/>
    </row>
    <row r="221" spans="1:12" ht="15.75" thickTop="1">
      <c r="A221" s="8"/>
      <c r="B221" s="8"/>
      <c r="C221" s="8"/>
      <c r="D221" s="20"/>
      <c r="E221" s="20"/>
      <c r="F221" s="20"/>
      <c r="G221" s="20"/>
      <c r="H221" s="20"/>
      <c r="I221" s="20"/>
      <c r="J221" s="20"/>
      <c r="K221" s="8"/>
      <c r="L221" s="8"/>
    </row>
    <row r="222" spans="1:12">
      <c r="A222" s="8"/>
      <c r="B222" s="8"/>
      <c r="C222" s="8"/>
      <c r="D222" s="20"/>
      <c r="E222" s="20"/>
      <c r="F222" s="20"/>
      <c r="G222" s="20"/>
      <c r="H222" s="20"/>
      <c r="I222" s="20"/>
      <c r="J222" s="20"/>
      <c r="K222" s="8"/>
      <c r="L222" s="8"/>
    </row>
    <row r="223" spans="1:12">
      <c r="A223" s="8">
        <v>55</v>
      </c>
      <c r="B223" s="8" t="s">
        <v>50</v>
      </c>
      <c r="C223" s="8" t="s">
        <v>12</v>
      </c>
      <c r="D223" s="20">
        <v>23377.43</v>
      </c>
      <c r="E223" s="20">
        <v>936.15</v>
      </c>
      <c r="F223" s="20">
        <v>0</v>
      </c>
      <c r="G223" s="20">
        <v>0</v>
      </c>
      <c r="H223" s="20">
        <v>0</v>
      </c>
      <c r="I223" s="20">
        <v>0</v>
      </c>
      <c r="J223" s="20">
        <f>SUM(D223:I223)</f>
        <v>24313.58</v>
      </c>
      <c r="K223" s="8"/>
      <c r="L223" s="8"/>
    </row>
    <row r="224" spans="1:12" ht="15.75" thickBot="1">
      <c r="A224" s="8"/>
      <c r="B224" s="8"/>
      <c r="C224" s="8" t="s">
        <v>13</v>
      </c>
      <c r="D224" s="29">
        <v>595.17999999999995</v>
      </c>
      <c r="E224" s="29">
        <v>9.89</v>
      </c>
      <c r="F224" s="29">
        <v>0</v>
      </c>
      <c r="G224" s="29">
        <v>0</v>
      </c>
      <c r="H224" s="29">
        <v>0</v>
      </c>
      <c r="I224" s="29">
        <v>0</v>
      </c>
      <c r="J224" s="29">
        <f>SUM(D224:I224)</f>
        <v>605.06999999999994</v>
      </c>
      <c r="K224" s="8"/>
      <c r="L224" s="8"/>
    </row>
    <row r="225" spans="1:12">
      <c r="A225" s="8"/>
      <c r="B225" s="8"/>
      <c r="C225" s="8"/>
      <c r="D225" s="20"/>
      <c r="E225" s="20"/>
      <c r="F225" s="20"/>
      <c r="G225" s="20"/>
      <c r="H225" s="20"/>
      <c r="I225" s="20"/>
      <c r="J225" s="20"/>
      <c r="K225" s="8"/>
      <c r="L225" s="8"/>
    </row>
    <row r="226" spans="1:12" ht="15.75" thickBot="1">
      <c r="A226" s="8"/>
      <c r="B226" s="8"/>
      <c r="C226" s="8" t="s">
        <v>10</v>
      </c>
      <c r="D226" s="31">
        <f t="shared" ref="D226:I226" si="34">SUM(D223:D224)</f>
        <v>23972.61</v>
      </c>
      <c r="E226" s="31">
        <f t="shared" si="34"/>
        <v>946.04</v>
      </c>
      <c r="F226" s="31">
        <f t="shared" si="34"/>
        <v>0</v>
      </c>
      <c r="G226" s="31">
        <f t="shared" si="34"/>
        <v>0</v>
      </c>
      <c r="H226" s="31">
        <f t="shared" si="34"/>
        <v>0</v>
      </c>
      <c r="I226" s="31">
        <f t="shared" si="34"/>
        <v>0</v>
      </c>
      <c r="J226" s="31">
        <f>SUM(D226:I226)</f>
        <v>24918.65</v>
      </c>
      <c r="K226" s="8"/>
      <c r="L226" s="8"/>
    </row>
    <row r="227" spans="1:12" ht="15.75" thickTop="1">
      <c r="A227" s="8"/>
      <c r="B227" s="8"/>
      <c r="C227" s="8"/>
      <c r="D227" s="20"/>
      <c r="E227" s="20"/>
      <c r="F227" s="20"/>
      <c r="G227" s="20"/>
      <c r="H227" s="20"/>
      <c r="I227" s="20"/>
      <c r="J227" s="20"/>
      <c r="K227" s="8"/>
      <c r="L227" s="8"/>
    </row>
    <row r="228" spans="1:12">
      <c r="A228" s="8"/>
      <c r="B228" s="8"/>
      <c r="C228" s="8"/>
      <c r="D228" s="20"/>
      <c r="E228" s="20"/>
      <c r="F228" s="20"/>
      <c r="G228" s="20"/>
      <c r="H228" s="20"/>
      <c r="I228" s="20"/>
      <c r="J228" s="20"/>
      <c r="K228" s="8"/>
      <c r="L228" s="8"/>
    </row>
    <row r="229" spans="1:12">
      <c r="A229" s="8">
        <v>56</v>
      </c>
      <c r="B229" s="8" t="s">
        <v>51</v>
      </c>
      <c r="C229" s="8" t="s">
        <v>12</v>
      </c>
      <c r="D229" s="20">
        <v>28344.23</v>
      </c>
      <c r="E229" s="20">
        <v>492.84</v>
      </c>
      <c r="F229" s="20">
        <v>0</v>
      </c>
      <c r="G229" s="20">
        <v>0</v>
      </c>
      <c r="H229" s="20">
        <v>0</v>
      </c>
      <c r="I229" s="20">
        <v>0</v>
      </c>
      <c r="J229" s="20">
        <f>SUM(D229:I229)</f>
        <v>28837.07</v>
      </c>
      <c r="K229" s="8"/>
      <c r="L229" s="8"/>
    </row>
    <row r="230" spans="1:12" ht="15.75" thickBot="1">
      <c r="A230" s="8"/>
      <c r="B230" s="8"/>
      <c r="C230" s="8" t="s">
        <v>13</v>
      </c>
      <c r="D230" s="29">
        <v>1598.29</v>
      </c>
      <c r="E230" s="29">
        <v>27.39</v>
      </c>
      <c r="F230" s="29">
        <v>0</v>
      </c>
      <c r="G230" s="29">
        <v>0</v>
      </c>
      <c r="H230" s="29">
        <v>0</v>
      </c>
      <c r="I230" s="29">
        <v>0</v>
      </c>
      <c r="J230" s="29">
        <f>SUM(D230:I230)</f>
        <v>1625.68</v>
      </c>
      <c r="K230" s="8"/>
      <c r="L230" s="8"/>
    </row>
    <row r="231" spans="1:12">
      <c r="A231" s="8"/>
      <c r="B231" s="8"/>
      <c r="C231" s="8"/>
      <c r="D231" s="20"/>
      <c r="E231" s="20"/>
      <c r="F231" s="20"/>
      <c r="G231" s="20"/>
      <c r="H231" s="20"/>
      <c r="I231" s="20"/>
      <c r="J231" s="20"/>
      <c r="K231" s="8"/>
      <c r="L231" s="8"/>
    </row>
    <row r="232" spans="1:12" ht="15.75" thickBot="1">
      <c r="A232" s="8"/>
      <c r="B232" s="8"/>
      <c r="C232" s="8" t="s">
        <v>10</v>
      </c>
      <c r="D232" s="31">
        <f t="shared" ref="D232:I232" si="35">SUM(D229:D230)</f>
        <v>29942.52</v>
      </c>
      <c r="E232" s="31">
        <f t="shared" si="35"/>
        <v>520.23</v>
      </c>
      <c r="F232" s="31">
        <f t="shared" si="35"/>
        <v>0</v>
      </c>
      <c r="G232" s="31">
        <f t="shared" si="35"/>
        <v>0</v>
      </c>
      <c r="H232" s="31">
        <f t="shared" si="35"/>
        <v>0</v>
      </c>
      <c r="I232" s="31">
        <f t="shared" si="35"/>
        <v>0</v>
      </c>
      <c r="J232" s="31">
        <f>SUM(D232:I232)</f>
        <v>30462.75</v>
      </c>
      <c r="K232" s="8"/>
      <c r="L232" s="8"/>
    </row>
    <row r="233" spans="1:12" ht="15.75" thickTop="1">
      <c r="A233" s="8"/>
      <c r="B233" s="8"/>
      <c r="C233" s="8"/>
      <c r="D233" s="20"/>
      <c r="E233" s="20"/>
      <c r="F233" s="20"/>
      <c r="G233" s="20"/>
      <c r="H233" s="20"/>
      <c r="I233" s="20"/>
      <c r="J233" s="20"/>
      <c r="K233" s="8"/>
      <c r="L233" s="8"/>
    </row>
    <row r="234" spans="1:12">
      <c r="A234" s="8"/>
      <c r="B234" s="8"/>
      <c r="C234" s="8"/>
      <c r="D234" s="20"/>
      <c r="E234" s="20"/>
      <c r="F234" s="20"/>
      <c r="G234" s="20"/>
      <c r="H234" s="20"/>
      <c r="I234" s="20"/>
      <c r="J234" s="20"/>
      <c r="K234" s="8"/>
      <c r="L234" s="8"/>
    </row>
    <row r="235" spans="1:12">
      <c r="A235" s="8">
        <v>57</v>
      </c>
      <c r="B235" s="8" t="s">
        <v>52</v>
      </c>
      <c r="C235" s="8" t="s">
        <v>12</v>
      </c>
      <c r="D235" s="20">
        <v>31899.360000000001</v>
      </c>
      <c r="E235" s="20">
        <v>450.08</v>
      </c>
      <c r="F235" s="20">
        <v>0</v>
      </c>
      <c r="G235" s="20">
        <v>0</v>
      </c>
      <c r="H235" s="20">
        <v>0</v>
      </c>
      <c r="I235" s="20">
        <v>0</v>
      </c>
      <c r="J235" s="20">
        <f>SUM(D235:I235)</f>
        <v>32349.440000000002</v>
      </c>
      <c r="K235" s="8"/>
      <c r="L235" s="8"/>
    </row>
    <row r="236" spans="1:12" hidden="1">
      <c r="A236" s="8"/>
      <c r="B236" s="8"/>
      <c r="C236" s="38" t="s">
        <v>13</v>
      </c>
      <c r="D236" s="20"/>
      <c r="E236" s="20"/>
      <c r="F236" s="20"/>
      <c r="G236" s="20">
        <v>0</v>
      </c>
      <c r="H236" s="20">
        <v>0</v>
      </c>
      <c r="I236" s="20">
        <v>0</v>
      </c>
      <c r="J236" s="20">
        <f t="shared" ref="J236:J237" si="36">SUM(D236:I236)</f>
        <v>0</v>
      </c>
      <c r="K236" s="8"/>
      <c r="L236" s="8"/>
    </row>
    <row r="237" spans="1:12" ht="15.75" thickBot="1">
      <c r="A237" s="8"/>
      <c r="B237" s="8"/>
      <c r="C237" s="38" t="s">
        <v>13</v>
      </c>
      <c r="D237" s="29">
        <v>613.45000000000005</v>
      </c>
      <c r="E237" s="29">
        <v>9.36</v>
      </c>
      <c r="F237" s="29">
        <v>0</v>
      </c>
      <c r="G237" s="29">
        <v>0</v>
      </c>
      <c r="H237" s="29">
        <v>0</v>
      </c>
      <c r="I237" s="29">
        <v>0</v>
      </c>
      <c r="J237" s="29">
        <f t="shared" si="36"/>
        <v>622.81000000000006</v>
      </c>
      <c r="K237" s="8"/>
      <c r="L237" s="8"/>
    </row>
    <row r="238" spans="1:12" ht="15.75" hidden="1" thickBot="1">
      <c r="A238" s="8"/>
      <c r="B238" s="8"/>
      <c r="C238" s="38" t="s">
        <v>109</v>
      </c>
      <c r="D238" s="29">
        <v>0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29">
        <f>SUM(D238:I238)</f>
        <v>0</v>
      </c>
      <c r="K238" s="8"/>
      <c r="L238" s="8"/>
    </row>
    <row r="239" spans="1:12">
      <c r="A239" s="8"/>
      <c r="B239" s="8"/>
      <c r="C239" s="8"/>
      <c r="D239" s="20"/>
      <c r="E239" s="20"/>
      <c r="F239" s="20"/>
      <c r="G239" s="20"/>
      <c r="H239" s="20"/>
      <c r="I239" s="20"/>
      <c r="J239" s="20"/>
      <c r="K239" s="8"/>
      <c r="L239" s="8"/>
    </row>
    <row r="240" spans="1:12" ht="15.75" thickBot="1">
      <c r="A240" s="8"/>
      <c r="B240" s="8"/>
      <c r="C240" s="8" t="s">
        <v>10</v>
      </c>
      <c r="D240" s="31">
        <f t="shared" ref="D240:I240" si="37">SUM(D235:D238)</f>
        <v>32512.81</v>
      </c>
      <c r="E240" s="31">
        <f t="shared" si="37"/>
        <v>459.44</v>
      </c>
      <c r="F240" s="31">
        <f t="shared" si="37"/>
        <v>0</v>
      </c>
      <c r="G240" s="31">
        <f t="shared" si="37"/>
        <v>0</v>
      </c>
      <c r="H240" s="31">
        <f t="shared" si="37"/>
        <v>0</v>
      </c>
      <c r="I240" s="31">
        <f t="shared" si="37"/>
        <v>0</v>
      </c>
      <c r="J240" s="31">
        <f>SUM(D240:I240)</f>
        <v>32972.25</v>
      </c>
      <c r="K240" s="8"/>
      <c r="L240" s="8"/>
    </row>
    <row r="241" spans="1:12" ht="15.75" thickTop="1">
      <c r="A241" s="8"/>
      <c r="B241" s="8"/>
      <c r="C241" s="8"/>
      <c r="D241" s="20"/>
      <c r="E241" s="20"/>
      <c r="F241" s="20"/>
      <c r="G241" s="20"/>
      <c r="H241" s="20"/>
      <c r="I241" s="20"/>
      <c r="J241" s="20"/>
      <c r="K241" s="8"/>
      <c r="L241" s="8"/>
    </row>
    <row r="242" spans="1:12">
      <c r="A242" s="8"/>
      <c r="B242" s="8"/>
      <c r="C242" s="8"/>
      <c r="D242" s="20"/>
      <c r="E242" s="20"/>
      <c r="F242" s="20"/>
      <c r="G242" s="20"/>
      <c r="H242" s="20"/>
      <c r="I242" s="20"/>
      <c r="J242" s="20"/>
      <c r="K242" s="8"/>
      <c r="L242" s="8"/>
    </row>
    <row r="243" spans="1:12">
      <c r="A243" s="8">
        <v>58</v>
      </c>
      <c r="B243" s="8" t="s">
        <v>53</v>
      </c>
      <c r="C243" s="8" t="s">
        <v>12</v>
      </c>
      <c r="D243" s="20">
        <v>15999.64</v>
      </c>
      <c r="E243" s="20">
        <v>328.91</v>
      </c>
      <c r="F243" s="20">
        <v>0</v>
      </c>
      <c r="G243" s="20">
        <v>0</v>
      </c>
      <c r="H243" s="20">
        <v>0</v>
      </c>
      <c r="I243" s="20">
        <v>0</v>
      </c>
      <c r="J243" s="20">
        <f>SUM(D243:I243)</f>
        <v>16328.55</v>
      </c>
      <c r="K243" s="8"/>
      <c r="L243" s="8"/>
    </row>
    <row r="244" spans="1:12" ht="15.75" thickBot="1">
      <c r="A244" s="8"/>
      <c r="B244" s="8"/>
      <c r="C244" s="38" t="s">
        <v>116</v>
      </c>
      <c r="D244" s="29">
        <v>24435.919999999998</v>
      </c>
      <c r="E244" s="29">
        <v>527.29</v>
      </c>
      <c r="F244" s="29">
        <v>0</v>
      </c>
      <c r="G244" s="29"/>
      <c r="H244" s="29"/>
      <c r="I244" s="29"/>
      <c r="J244" s="29">
        <v>0</v>
      </c>
      <c r="K244" s="8"/>
      <c r="L244" s="8"/>
    </row>
    <row r="245" spans="1:12">
      <c r="A245" s="8"/>
      <c r="B245" s="8"/>
      <c r="C245" s="8"/>
      <c r="D245" s="20"/>
      <c r="E245" s="20"/>
      <c r="F245" s="20"/>
      <c r="G245" s="20"/>
      <c r="H245" s="20"/>
      <c r="I245" s="20"/>
      <c r="J245" s="20"/>
      <c r="K245" s="8"/>
      <c r="L245" s="8"/>
    </row>
    <row r="246" spans="1:12" ht="15.75" thickBot="1">
      <c r="A246" s="8"/>
      <c r="B246" s="8"/>
      <c r="C246" s="8" t="s">
        <v>10</v>
      </c>
      <c r="D246" s="31">
        <f t="shared" ref="D246:I246" si="38">SUM(D243:D244)</f>
        <v>40435.56</v>
      </c>
      <c r="E246" s="31">
        <f t="shared" si="38"/>
        <v>856.2</v>
      </c>
      <c r="F246" s="31">
        <f t="shared" si="38"/>
        <v>0</v>
      </c>
      <c r="G246" s="31">
        <f t="shared" si="38"/>
        <v>0</v>
      </c>
      <c r="H246" s="31">
        <f t="shared" si="38"/>
        <v>0</v>
      </c>
      <c r="I246" s="31">
        <f t="shared" si="38"/>
        <v>0</v>
      </c>
      <c r="J246" s="31">
        <f>SUM(D246:I246)</f>
        <v>41291.759999999995</v>
      </c>
      <c r="K246" s="8"/>
      <c r="L246" s="8"/>
    </row>
    <row r="247" spans="1:12" ht="15.75" thickTop="1">
      <c r="A247" s="8"/>
      <c r="B247" s="8"/>
      <c r="C247" s="8"/>
      <c r="D247" s="20"/>
      <c r="E247" s="20"/>
      <c r="F247" s="20"/>
      <c r="G247" s="20"/>
      <c r="H247" s="20"/>
      <c r="I247" s="20"/>
      <c r="J247" s="20"/>
      <c r="K247" s="8"/>
      <c r="L247" s="8"/>
    </row>
    <row r="248" spans="1:12">
      <c r="A248" s="8"/>
      <c r="B248" s="8"/>
      <c r="C248" s="8"/>
      <c r="D248" s="20"/>
      <c r="E248" s="20"/>
      <c r="F248" s="20"/>
      <c r="G248" s="20"/>
      <c r="H248" s="20"/>
      <c r="I248" s="20"/>
      <c r="J248" s="20"/>
      <c r="K248" s="8"/>
      <c r="L248" s="8"/>
    </row>
    <row r="249" spans="1:12">
      <c r="A249" s="8">
        <v>59</v>
      </c>
      <c r="B249" s="8" t="s">
        <v>54</v>
      </c>
      <c r="C249" s="8" t="s">
        <v>12</v>
      </c>
      <c r="D249" s="20">
        <v>30429.040000000001</v>
      </c>
      <c r="E249" s="20">
        <v>330.76</v>
      </c>
      <c r="F249" s="20">
        <v>124.77</v>
      </c>
      <c r="G249" s="20">
        <v>0</v>
      </c>
      <c r="H249" s="20">
        <v>0</v>
      </c>
      <c r="I249" s="20">
        <v>0</v>
      </c>
      <c r="J249" s="20">
        <f>SUM(D249:I249)</f>
        <v>30884.57</v>
      </c>
      <c r="K249" s="8"/>
      <c r="L249" s="8"/>
    </row>
    <row r="250" spans="1:12" ht="15.75" thickBot="1">
      <c r="A250" s="8"/>
      <c r="B250" s="8"/>
      <c r="C250" s="8"/>
      <c r="D250" s="29"/>
      <c r="E250" s="29"/>
      <c r="F250" s="29"/>
      <c r="G250" s="29">
        <v>0</v>
      </c>
      <c r="H250" s="29">
        <v>0</v>
      </c>
      <c r="I250" s="29">
        <v>0</v>
      </c>
      <c r="J250" s="29">
        <f>SUM(D250:I250)</f>
        <v>0</v>
      </c>
      <c r="K250" s="8"/>
      <c r="L250" s="8"/>
    </row>
    <row r="251" spans="1:12">
      <c r="A251" s="8"/>
      <c r="B251" s="8"/>
      <c r="C251" s="8"/>
      <c r="D251" s="20"/>
      <c r="E251" s="20"/>
      <c r="F251" s="20"/>
      <c r="G251" s="20"/>
      <c r="H251" s="20"/>
      <c r="I251" s="20"/>
      <c r="J251" s="20"/>
      <c r="K251" s="8"/>
      <c r="L251" s="8"/>
    </row>
    <row r="252" spans="1:12" ht="15.75" thickBot="1">
      <c r="A252" s="8"/>
      <c r="B252" s="8"/>
      <c r="C252" s="8" t="s">
        <v>10</v>
      </c>
      <c r="D252" s="31">
        <f t="shared" ref="D252:I252" si="39">SUM(D249:D250)</f>
        <v>30429.040000000001</v>
      </c>
      <c r="E252" s="31">
        <f t="shared" si="39"/>
        <v>330.76</v>
      </c>
      <c r="F252" s="31">
        <f t="shared" si="39"/>
        <v>124.77</v>
      </c>
      <c r="G252" s="31">
        <f t="shared" si="39"/>
        <v>0</v>
      </c>
      <c r="H252" s="31">
        <f t="shared" si="39"/>
        <v>0</v>
      </c>
      <c r="I252" s="31">
        <f t="shared" si="39"/>
        <v>0</v>
      </c>
      <c r="J252" s="31">
        <f>SUM(D252:I252)</f>
        <v>30884.57</v>
      </c>
      <c r="K252" s="8"/>
      <c r="L252" s="8"/>
    </row>
    <row r="253" spans="1:12" ht="15.75" thickTop="1">
      <c r="A253" s="8"/>
      <c r="B253" s="8"/>
      <c r="C253" s="8"/>
      <c r="D253" s="20"/>
      <c r="E253" s="20"/>
      <c r="F253" s="20"/>
      <c r="G253" s="20"/>
      <c r="H253" s="20"/>
      <c r="I253" s="20"/>
      <c r="J253" s="20"/>
      <c r="K253" s="8"/>
      <c r="L253" s="8"/>
    </row>
    <row r="254" spans="1:12">
      <c r="A254" s="8"/>
      <c r="B254" s="8"/>
      <c r="C254" s="8"/>
      <c r="D254" s="20"/>
      <c r="E254" s="20"/>
      <c r="F254" s="20"/>
      <c r="G254" s="20"/>
      <c r="H254" s="20"/>
      <c r="I254" s="20"/>
      <c r="J254" s="20"/>
      <c r="K254" s="8"/>
      <c r="L254" s="8"/>
    </row>
    <row r="255" spans="1:12">
      <c r="A255" s="8">
        <v>60</v>
      </c>
      <c r="B255" s="8" t="s">
        <v>55</v>
      </c>
      <c r="C255" s="8" t="s">
        <v>12</v>
      </c>
      <c r="D255" s="20">
        <v>87935.89</v>
      </c>
      <c r="E255" s="20">
        <v>1173.56</v>
      </c>
      <c r="F255" s="20">
        <v>220.57</v>
      </c>
      <c r="G255" s="20">
        <v>0</v>
      </c>
      <c r="H255" s="20">
        <v>0</v>
      </c>
      <c r="I255" s="20">
        <v>0</v>
      </c>
      <c r="J255" s="20">
        <f>SUM(D255:I255)</f>
        <v>89330.02</v>
      </c>
      <c r="K255" s="8"/>
      <c r="L255" s="8"/>
    </row>
    <row r="256" spans="1:12" hidden="1">
      <c r="A256" s="8"/>
      <c r="B256" s="8"/>
      <c r="C256" s="38" t="s">
        <v>35</v>
      </c>
      <c r="D256" s="20"/>
      <c r="E256" s="20"/>
      <c r="F256" s="20"/>
      <c r="G256" s="20">
        <v>0</v>
      </c>
      <c r="H256" s="20">
        <v>0</v>
      </c>
      <c r="I256" s="20">
        <v>0</v>
      </c>
      <c r="J256" s="20">
        <f>SUM(D256:I256)</f>
        <v>0</v>
      </c>
      <c r="K256" s="8"/>
      <c r="L256" s="8"/>
    </row>
    <row r="257" spans="1:12" ht="15.75" thickBot="1">
      <c r="A257" s="8"/>
      <c r="B257" s="8"/>
      <c r="C257" s="8"/>
      <c r="D257" s="29"/>
      <c r="E257" s="29"/>
      <c r="F257" s="29"/>
      <c r="G257" s="29">
        <v>0</v>
      </c>
      <c r="H257" s="29">
        <v>0</v>
      </c>
      <c r="I257" s="29">
        <v>0</v>
      </c>
      <c r="J257" s="29">
        <f>SUM(D257:I257)</f>
        <v>0</v>
      </c>
      <c r="K257" s="8"/>
      <c r="L257" s="8"/>
    </row>
    <row r="258" spans="1:12" hidden="1">
      <c r="A258" s="8"/>
      <c r="B258" s="8"/>
      <c r="C258" s="8" t="s">
        <v>98</v>
      </c>
      <c r="D258" s="25">
        <v>0</v>
      </c>
      <c r="E258" s="25">
        <v>0</v>
      </c>
      <c r="F258" s="25">
        <v>0</v>
      </c>
      <c r="G258" s="25">
        <v>0</v>
      </c>
      <c r="H258" s="25">
        <v>0</v>
      </c>
      <c r="I258" s="25">
        <v>0</v>
      </c>
      <c r="J258" s="25">
        <f>SUM(D258:I258)</f>
        <v>0</v>
      </c>
      <c r="K258" s="8"/>
      <c r="L258" s="8"/>
    </row>
    <row r="259" spans="1:12">
      <c r="A259" s="8"/>
      <c r="B259" s="8"/>
      <c r="C259" s="8"/>
      <c r="D259" s="20"/>
      <c r="E259" s="20"/>
      <c r="F259" s="20"/>
      <c r="G259" s="20"/>
      <c r="H259" s="20"/>
      <c r="I259" s="20"/>
      <c r="J259" s="20"/>
      <c r="K259" s="8"/>
      <c r="L259" s="8"/>
    </row>
    <row r="260" spans="1:12">
      <c r="A260" s="8"/>
      <c r="B260" s="8"/>
      <c r="C260" s="8"/>
      <c r="D260" s="20"/>
      <c r="E260" s="20"/>
      <c r="F260" s="20"/>
      <c r="G260" s="20"/>
      <c r="H260" s="20"/>
      <c r="I260" s="20"/>
      <c r="J260" s="20"/>
      <c r="K260" s="8"/>
      <c r="L260" s="8"/>
    </row>
    <row r="261" spans="1:12" ht="15.75" thickBot="1">
      <c r="A261" s="8"/>
      <c r="B261" s="8"/>
      <c r="C261" s="8" t="s">
        <v>10</v>
      </c>
      <c r="D261" s="31">
        <f t="shared" ref="D261:I261" si="40">SUM(D255:D260)</f>
        <v>87935.89</v>
      </c>
      <c r="E261" s="31">
        <f t="shared" si="40"/>
        <v>1173.56</v>
      </c>
      <c r="F261" s="31">
        <f t="shared" si="40"/>
        <v>220.57</v>
      </c>
      <c r="G261" s="31">
        <f t="shared" si="40"/>
        <v>0</v>
      </c>
      <c r="H261" s="31">
        <f t="shared" si="40"/>
        <v>0</v>
      </c>
      <c r="I261" s="31">
        <f t="shared" si="40"/>
        <v>0</v>
      </c>
      <c r="J261" s="31">
        <f>SUM(D261:I261)</f>
        <v>89330.02</v>
      </c>
      <c r="K261" s="8"/>
      <c r="L261" s="8"/>
    </row>
    <row r="262" spans="1:12" ht="15.75" thickTop="1">
      <c r="A262" s="8"/>
      <c r="B262" s="8"/>
      <c r="C262" s="8"/>
      <c r="D262" s="20"/>
      <c r="E262" s="20"/>
      <c r="F262" s="20"/>
      <c r="G262" s="20"/>
      <c r="H262" s="20"/>
      <c r="I262" s="20"/>
      <c r="J262" s="20"/>
      <c r="K262" s="8"/>
      <c r="L262" s="8"/>
    </row>
    <row r="263" spans="1:12">
      <c r="A263" s="8"/>
      <c r="B263" s="8"/>
      <c r="C263" s="8"/>
      <c r="D263" s="20"/>
      <c r="E263" s="20"/>
      <c r="F263" s="20"/>
      <c r="G263" s="20"/>
      <c r="H263" s="20"/>
      <c r="I263" s="20"/>
      <c r="J263" s="20"/>
      <c r="K263" s="8"/>
      <c r="L263" s="8"/>
    </row>
    <row r="264" spans="1:12">
      <c r="A264" s="8">
        <v>61</v>
      </c>
      <c r="B264" s="8" t="s">
        <v>56</v>
      </c>
      <c r="C264" s="8" t="s">
        <v>12</v>
      </c>
      <c r="D264" s="39">
        <v>12401.68</v>
      </c>
      <c r="E264" s="20">
        <v>0</v>
      </c>
      <c r="F264" s="20">
        <v>0</v>
      </c>
      <c r="G264" s="20">
        <v>0</v>
      </c>
      <c r="H264" s="20">
        <v>0</v>
      </c>
      <c r="I264" s="20">
        <v>0</v>
      </c>
      <c r="J264" s="20">
        <f>SUM(D264:I264)</f>
        <v>12401.68</v>
      </c>
      <c r="K264" s="8"/>
      <c r="L264" s="8"/>
    </row>
    <row r="265" spans="1:12" ht="15.75" thickBot="1">
      <c r="A265" s="8"/>
      <c r="B265" s="8"/>
      <c r="C265" s="8" t="s">
        <v>13</v>
      </c>
      <c r="D265" s="29">
        <v>506.19</v>
      </c>
      <c r="E265" s="29">
        <v>0</v>
      </c>
      <c r="F265" s="29">
        <v>0</v>
      </c>
      <c r="G265" s="29">
        <v>0</v>
      </c>
      <c r="H265" s="29">
        <v>0</v>
      </c>
      <c r="I265" s="29">
        <v>0</v>
      </c>
      <c r="J265" s="29">
        <f>SUM(D265:I265)</f>
        <v>506.19</v>
      </c>
      <c r="K265" s="8"/>
      <c r="L265" s="8"/>
    </row>
    <row r="266" spans="1:12" ht="15.75" hidden="1" thickBot="1">
      <c r="A266" s="8"/>
      <c r="B266" s="8"/>
      <c r="C266" s="8" t="s">
        <v>99</v>
      </c>
      <c r="D266" s="29">
        <v>0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29">
        <f>SUM(D266:I266)</f>
        <v>0</v>
      </c>
      <c r="K266" s="8"/>
      <c r="L266" s="8"/>
    </row>
    <row r="267" spans="1:12">
      <c r="A267" s="8"/>
      <c r="B267" s="8"/>
      <c r="C267" s="8"/>
      <c r="D267" s="20"/>
      <c r="E267" s="20"/>
      <c r="F267" s="20"/>
      <c r="G267" s="20"/>
      <c r="H267" s="20"/>
      <c r="I267" s="20"/>
      <c r="J267" s="20"/>
      <c r="K267" s="8"/>
      <c r="L267" s="8"/>
    </row>
    <row r="268" spans="1:12" ht="15.75" thickBot="1">
      <c r="A268" s="8"/>
      <c r="B268" s="8"/>
      <c r="C268" s="8" t="s">
        <v>10</v>
      </c>
      <c r="D268" s="31">
        <f>SUM(D264:D266)</f>
        <v>12907.87</v>
      </c>
      <c r="E268" s="31">
        <f t="shared" ref="E268:J268" si="41">SUM(E264:E266)</f>
        <v>0</v>
      </c>
      <c r="F268" s="31">
        <f t="shared" si="41"/>
        <v>0</v>
      </c>
      <c r="G268" s="31">
        <f t="shared" si="41"/>
        <v>0</v>
      </c>
      <c r="H268" s="31">
        <f t="shared" si="41"/>
        <v>0</v>
      </c>
      <c r="I268" s="31">
        <f t="shared" si="41"/>
        <v>0</v>
      </c>
      <c r="J268" s="31">
        <f t="shared" si="41"/>
        <v>12907.87</v>
      </c>
      <c r="K268" s="8"/>
      <c r="L268" s="8"/>
    </row>
    <row r="269" spans="1:12" ht="15.75" thickTop="1">
      <c r="A269" s="8"/>
      <c r="B269" s="8"/>
      <c r="C269" s="8"/>
      <c r="D269" s="20"/>
      <c r="E269" s="20"/>
      <c r="F269" s="20"/>
      <c r="G269" s="20"/>
      <c r="H269" s="20"/>
      <c r="I269" s="20"/>
      <c r="J269" s="20"/>
      <c r="K269" s="8"/>
      <c r="L269" s="8"/>
    </row>
    <row r="270" spans="1:12">
      <c r="A270" s="8"/>
      <c r="B270" s="8"/>
      <c r="C270" s="8"/>
      <c r="D270" s="20"/>
      <c r="E270" s="20"/>
      <c r="F270" s="20"/>
      <c r="G270" s="20"/>
      <c r="H270" s="20"/>
      <c r="I270" s="20"/>
      <c r="J270" s="20"/>
      <c r="K270" s="8"/>
      <c r="L270" s="8"/>
    </row>
    <row r="271" spans="1:12">
      <c r="A271" s="8">
        <v>62</v>
      </c>
      <c r="B271" s="8" t="s">
        <v>57</v>
      </c>
      <c r="C271" s="8" t="s">
        <v>12</v>
      </c>
      <c r="D271" s="20">
        <v>8416.24</v>
      </c>
      <c r="E271" s="20">
        <v>42.19</v>
      </c>
      <c r="F271" s="20">
        <v>0</v>
      </c>
      <c r="G271" s="20">
        <v>0</v>
      </c>
      <c r="H271" s="20">
        <v>0</v>
      </c>
      <c r="I271" s="20">
        <v>0</v>
      </c>
      <c r="J271" s="20">
        <f>SUM(D271:I271)</f>
        <v>8458.43</v>
      </c>
      <c r="K271" s="8"/>
      <c r="L271" s="8"/>
    </row>
    <row r="272" spans="1:12" ht="15.75" thickBot="1">
      <c r="A272" s="8"/>
      <c r="B272" s="8"/>
      <c r="C272" s="8" t="s">
        <v>13</v>
      </c>
      <c r="D272" s="29">
        <v>1148.19</v>
      </c>
      <c r="E272" s="29">
        <v>6.49</v>
      </c>
      <c r="F272" s="29">
        <v>0</v>
      </c>
      <c r="G272" s="29">
        <v>0</v>
      </c>
      <c r="H272" s="29">
        <v>0</v>
      </c>
      <c r="I272" s="29">
        <v>0</v>
      </c>
      <c r="J272" s="29">
        <f>SUM(D272:I272)</f>
        <v>1154.68</v>
      </c>
      <c r="K272" s="8"/>
      <c r="L272" s="8"/>
    </row>
    <row r="273" spans="1:12">
      <c r="A273" s="8"/>
      <c r="B273" s="8"/>
      <c r="C273" s="8"/>
      <c r="D273" s="20"/>
      <c r="E273" s="20"/>
      <c r="F273" s="20"/>
      <c r="G273" s="20"/>
      <c r="H273" s="20"/>
      <c r="I273" s="20"/>
      <c r="J273" s="20"/>
      <c r="K273" s="8"/>
      <c r="L273" s="8"/>
    </row>
    <row r="274" spans="1:12" ht="15.75" thickBot="1">
      <c r="A274" s="8"/>
      <c r="B274" s="8"/>
      <c r="C274" s="8" t="s">
        <v>10</v>
      </c>
      <c r="D274" s="31">
        <f t="shared" ref="D274:I274" si="42">SUM(D271:D272)</f>
        <v>9564.43</v>
      </c>
      <c r="E274" s="31">
        <f t="shared" si="42"/>
        <v>48.68</v>
      </c>
      <c r="F274" s="31">
        <f t="shared" si="42"/>
        <v>0</v>
      </c>
      <c r="G274" s="31">
        <f t="shared" si="42"/>
        <v>0</v>
      </c>
      <c r="H274" s="31">
        <f t="shared" si="42"/>
        <v>0</v>
      </c>
      <c r="I274" s="31">
        <f t="shared" si="42"/>
        <v>0</v>
      </c>
      <c r="J274" s="31">
        <f>SUM(D274:I274)</f>
        <v>9613.11</v>
      </c>
      <c r="K274" s="8"/>
      <c r="L274" s="8"/>
    </row>
    <row r="275" spans="1:12" ht="15.75" thickTop="1">
      <c r="A275" s="8"/>
      <c r="B275" s="8"/>
      <c r="C275" s="8"/>
      <c r="D275" s="20"/>
      <c r="E275" s="20"/>
      <c r="F275" s="20"/>
      <c r="G275" s="20"/>
      <c r="H275" s="20"/>
      <c r="I275" s="20"/>
      <c r="J275" s="20"/>
      <c r="K275" s="8"/>
      <c r="L275" s="8"/>
    </row>
    <row r="276" spans="1:12">
      <c r="A276" s="8"/>
      <c r="B276" s="8"/>
      <c r="C276" s="8"/>
      <c r="D276" s="20"/>
      <c r="E276" s="20"/>
      <c r="F276" s="20"/>
      <c r="G276" s="20"/>
      <c r="H276" s="20"/>
      <c r="I276" s="20"/>
      <c r="J276" s="20"/>
      <c r="K276" s="8"/>
      <c r="L276" s="8"/>
    </row>
    <row r="277" spans="1:12">
      <c r="A277" s="8">
        <v>63</v>
      </c>
      <c r="B277" s="8" t="s">
        <v>58</v>
      </c>
      <c r="C277" s="8" t="s">
        <v>12</v>
      </c>
      <c r="D277" s="20">
        <v>13504.24</v>
      </c>
      <c r="E277" s="20">
        <v>74.59</v>
      </c>
      <c r="F277" s="20">
        <v>0</v>
      </c>
      <c r="G277" s="20">
        <v>0</v>
      </c>
      <c r="H277" s="20">
        <v>0</v>
      </c>
      <c r="I277" s="20">
        <v>0</v>
      </c>
      <c r="J277" s="20">
        <f>SUM(D277:I277)</f>
        <v>13578.83</v>
      </c>
      <c r="K277" s="8"/>
      <c r="L277" s="8"/>
    </row>
    <row r="278" spans="1:12" ht="15.75" thickBot="1">
      <c r="A278" s="8"/>
      <c r="B278" s="8"/>
      <c r="C278" s="8" t="s">
        <v>13</v>
      </c>
      <c r="D278" s="29">
        <v>465</v>
      </c>
      <c r="E278" s="29">
        <v>2.62</v>
      </c>
      <c r="F278" s="29">
        <v>0</v>
      </c>
      <c r="G278" s="29">
        <v>0</v>
      </c>
      <c r="H278" s="29">
        <v>0</v>
      </c>
      <c r="I278" s="29">
        <v>0</v>
      </c>
      <c r="J278" s="29">
        <f>SUM(D278:I278)</f>
        <v>467.62</v>
      </c>
      <c r="K278" s="8"/>
      <c r="L278" s="8"/>
    </row>
    <row r="279" spans="1:12">
      <c r="A279" s="8"/>
      <c r="B279" s="8"/>
      <c r="C279" s="8"/>
      <c r="D279" s="20"/>
      <c r="E279" s="20"/>
      <c r="F279" s="20"/>
      <c r="G279" s="20"/>
      <c r="H279" s="20"/>
      <c r="I279" s="20"/>
      <c r="J279" s="20"/>
      <c r="K279" s="8"/>
      <c r="L279" s="8"/>
    </row>
    <row r="280" spans="1:12" ht="15.75" thickBot="1">
      <c r="A280" s="8"/>
      <c r="B280" s="8"/>
      <c r="C280" s="8" t="s">
        <v>10</v>
      </c>
      <c r="D280" s="31">
        <f t="shared" ref="D280:I280" si="43">SUM(D277:D278)</f>
        <v>13969.24</v>
      </c>
      <c r="E280" s="31">
        <f t="shared" si="43"/>
        <v>77.210000000000008</v>
      </c>
      <c r="F280" s="31">
        <f t="shared" si="43"/>
        <v>0</v>
      </c>
      <c r="G280" s="31">
        <f t="shared" si="43"/>
        <v>0</v>
      </c>
      <c r="H280" s="31">
        <f t="shared" si="43"/>
        <v>0</v>
      </c>
      <c r="I280" s="31">
        <f t="shared" si="43"/>
        <v>0</v>
      </c>
      <c r="J280" s="31">
        <f>SUM(D280:I280)</f>
        <v>14046.449999999999</v>
      </c>
      <c r="K280" s="8"/>
      <c r="L280" s="8"/>
    </row>
    <row r="281" spans="1:12" ht="15.75" thickTop="1">
      <c r="A281" s="8"/>
      <c r="B281" s="8"/>
      <c r="C281" s="8"/>
      <c r="D281" s="20"/>
      <c r="E281" s="20"/>
      <c r="F281" s="20"/>
      <c r="G281" s="20"/>
      <c r="H281" s="20"/>
      <c r="I281" s="20"/>
      <c r="J281" s="20"/>
      <c r="K281" s="8"/>
      <c r="L281" s="8"/>
    </row>
    <row r="282" spans="1:12">
      <c r="A282" s="8"/>
      <c r="B282" s="8"/>
      <c r="C282" s="8"/>
      <c r="D282" s="20"/>
      <c r="E282" s="20"/>
      <c r="F282" s="20"/>
      <c r="G282" s="20"/>
      <c r="H282" s="20"/>
      <c r="I282" s="20"/>
      <c r="J282" s="20"/>
      <c r="K282" s="8"/>
      <c r="L282" s="8"/>
    </row>
    <row r="283" spans="1:12" ht="15.75" thickBot="1">
      <c r="A283" s="8">
        <v>64</v>
      </c>
      <c r="B283" s="8" t="s">
        <v>59</v>
      </c>
      <c r="C283" s="8" t="s">
        <v>12</v>
      </c>
      <c r="D283" s="50">
        <v>68810.95</v>
      </c>
      <c r="E283" s="29">
        <v>2297.27</v>
      </c>
      <c r="F283" s="29">
        <v>386.51</v>
      </c>
      <c r="G283" s="29">
        <v>0</v>
      </c>
      <c r="H283" s="29">
        <v>0</v>
      </c>
      <c r="I283" s="29">
        <v>0</v>
      </c>
      <c r="J283" s="29">
        <f>SUM(D283:I283)</f>
        <v>71494.73</v>
      </c>
      <c r="K283" s="8"/>
      <c r="L283" s="8"/>
    </row>
    <row r="284" spans="1:12">
      <c r="A284" s="8"/>
      <c r="B284" s="8"/>
      <c r="C284" s="8"/>
      <c r="D284" s="20"/>
      <c r="E284" s="20"/>
      <c r="F284" s="20"/>
      <c r="G284" s="20"/>
      <c r="H284" s="20"/>
      <c r="I284" s="20"/>
      <c r="J284" s="20"/>
      <c r="K284" s="8"/>
      <c r="L284" s="8"/>
    </row>
    <row r="285" spans="1:12" ht="15.75" thickBot="1">
      <c r="A285" s="8"/>
      <c r="B285" s="8"/>
      <c r="C285" s="8" t="s">
        <v>10</v>
      </c>
      <c r="D285" s="31">
        <f t="shared" ref="D285:I285" si="44">SUM(D283:D284)</f>
        <v>68810.95</v>
      </c>
      <c r="E285" s="31">
        <f t="shared" si="44"/>
        <v>2297.27</v>
      </c>
      <c r="F285" s="31">
        <f t="shared" si="44"/>
        <v>386.51</v>
      </c>
      <c r="G285" s="31">
        <f t="shared" si="44"/>
        <v>0</v>
      </c>
      <c r="H285" s="31">
        <f t="shared" si="44"/>
        <v>0</v>
      </c>
      <c r="I285" s="31">
        <f t="shared" si="44"/>
        <v>0</v>
      </c>
      <c r="J285" s="31">
        <f>SUM(D285:I285)</f>
        <v>71494.73</v>
      </c>
      <c r="K285" s="8"/>
      <c r="L285" s="8"/>
    </row>
    <row r="286" spans="1:12" ht="15.75" thickTop="1">
      <c r="A286" s="8"/>
      <c r="B286" s="8"/>
      <c r="C286" s="8"/>
      <c r="D286" s="20"/>
      <c r="E286" s="20"/>
      <c r="F286" s="20"/>
      <c r="G286" s="20"/>
      <c r="H286" s="20"/>
      <c r="I286" s="20"/>
      <c r="J286" s="20"/>
      <c r="K286" s="8"/>
      <c r="L286" s="8"/>
    </row>
    <row r="287" spans="1:12">
      <c r="A287" s="8"/>
      <c r="B287" s="12"/>
      <c r="C287" s="12"/>
      <c r="D287" s="36"/>
      <c r="E287" s="36"/>
      <c r="F287" s="36"/>
      <c r="G287" s="22"/>
      <c r="H287" s="22"/>
      <c r="I287" s="22"/>
      <c r="J287" s="20"/>
      <c r="K287" s="8"/>
      <c r="L287" s="8"/>
    </row>
    <row r="288" spans="1:12" ht="15.75" thickBot="1">
      <c r="A288" s="8">
        <v>65</v>
      </c>
      <c r="B288" s="8" t="s">
        <v>60</v>
      </c>
      <c r="C288" s="8" t="s">
        <v>12</v>
      </c>
      <c r="D288" s="29">
        <v>16510.64</v>
      </c>
      <c r="E288" s="29">
        <v>343.55</v>
      </c>
      <c r="F288" s="29">
        <v>240.45</v>
      </c>
      <c r="G288" s="29">
        <v>0</v>
      </c>
      <c r="H288" s="29">
        <v>0</v>
      </c>
      <c r="I288" s="29">
        <v>0</v>
      </c>
      <c r="J288" s="29">
        <f>SUM(D288:I288)</f>
        <v>17094.64</v>
      </c>
      <c r="K288" s="8"/>
      <c r="L288" s="8"/>
    </row>
    <row r="289" spans="1:12" ht="15.75" hidden="1" thickBot="1">
      <c r="A289" s="8"/>
      <c r="B289" s="8"/>
      <c r="C289" s="8" t="s">
        <v>13</v>
      </c>
      <c r="D289" s="29"/>
      <c r="E289" s="29"/>
      <c r="F289" s="29"/>
      <c r="G289" s="29"/>
      <c r="H289" s="29"/>
      <c r="I289" s="29"/>
      <c r="J289" s="29"/>
      <c r="K289" s="8"/>
      <c r="L289" s="8"/>
    </row>
    <row r="290" spans="1:12">
      <c r="A290" s="8"/>
      <c r="B290" s="8"/>
      <c r="C290" s="8"/>
      <c r="D290" s="20"/>
      <c r="E290" s="20"/>
      <c r="F290" s="20"/>
      <c r="G290" s="20"/>
      <c r="H290" s="20"/>
      <c r="I290" s="20"/>
      <c r="J290" s="20"/>
      <c r="K290" s="8"/>
      <c r="L290" s="8"/>
    </row>
    <row r="291" spans="1:12" ht="15.75" thickBot="1">
      <c r="A291" s="8"/>
      <c r="B291" s="8"/>
      <c r="C291" s="8" t="s">
        <v>10</v>
      </c>
      <c r="D291" s="31">
        <f t="shared" ref="D291:I291" si="45">SUM(D288:D289)</f>
        <v>16510.64</v>
      </c>
      <c r="E291" s="31">
        <f t="shared" si="45"/>
        <v>343.55</v>
      </c>
      <c r="F291" s="31">
        <f t="shared" si="45"/>
        <v>240.45</v>
      </c>
      <c r="G291" s="31">
        <f t="shared" si="45"/>
        <v>0</v>
      </c>
      <c r="H291" s="31">
        <f t="shared" si="45"/>
        <v>0</v>
      </c>
      <c r="I291" s="31">
        <f t="shared" si="45"/>
        <v>0</v>
      </c>
      <c r="J291" s="31">
        <f>SUM(D291:I291)</f>
        <v>17094.64</v>
      </c>
      <c r="K291" s="8"/>
      <c r="L291" s="8"/>
    </row>
    <row r="292" spans="1:12" ht="15.75" thickTop="1">
      <c r="A292" s="8"/>
      <c r="B292" s="8"/>
      <c r="C292" s="8"/>
      <c r="D292" s="20"/>
      <c r="E292" s="20"/>
      <c r="F292" s="20"/>
      <c r="G292" s="20"/>
      <c r="H292" s="20"/>
      <c r="I292" s="20"/>
      <c r="J292" s="20"/>
      <c r="K292" s="8"/>
      <c r="L292" s="8"/>
    </row>
    <row r="293" spans="1:12">
      <c r="A293" s="8"/>
      <c r="B293" s="8"/>
      <c r="C293" s="8"/>
      <c r="D293" s="20"/>
      <c r="E293" s="20"/>
      <c r="F293" s="20"/>
      <c r="G293" s="20"/>
      <c r="H293" s="20"/>
      <c r="I293" s="20"/>
      <c r="J293" s="20"/>
      <c r="K293" s="8"/>
      <c r="L293" s="8"/>
    </row>
    <row r="294" spans="1:12">
      <c r="A294" s="8">
        <v>66</v>
      </c>
      <c r="B294" s="8" t="s">
        <v>61</v>
      </c>
      <c r="C294" s="8" t="s">
        <v>12</v>
      </c>
      <c r="D294" s="20">
        <v>15482.79</v>
      </c>
      <c r="E294" s="20">
        <v>104.33</v>
      </c>
      <c r="F294" s="20">
        <v>67.52</v>
      </c>
      <c r="G294" s="20">
        <v>0</v>
      </c>
      <c r="H294" s="20">
        <v>0</v>
      </c>
      <c r="I294" s="20">
        <v>0</v>
      </c>
      <c r="J294" s="20">
        <f>SUM(D294:I294)</f>
        <v>15654.640000000001</v>
      </c>
      <c r="K294" s="8"/>
      <c r="L294" s="8"/>
    </row>
    <row r="295" spans="1:12" hidden="1">
      <c r="A295" s="8"/>
      <c r="B295" s="8"/>
      <c r="C295" s="38" t="s">
        <v>35</v>
      </c>
      <c r="D295" s="20"/>
      <c r="E295" s="20"/>
      <c r="F295" s="20"/>
      <c r="G295" s="20">
        <v>0</v>
      </c>
      <c r="H295" s="20">
        <v>0</v>
      </c>
      <c r="I295" s="20">
        <v>0</v>
      </c>
      <c r="J295" s="20">
        <f>SUM(D295:I295)</f>
        <v>0</v>
      </c>
      <c r="K295" s="8"/>
      <c r="L295" s="8"/>
    </row>
    <row r="296" spans="1:12" hidden="1">
      <c r="A296" s="8"/>
      <c r="B296" s="8"/>
      <c r="C296" s="38" t="s">
        <v>73</v>
      </c>
      <c r="D296" s="20"/>
      <c r="E296" s="20"/>
      <c r="F296" s="20"/>
      <c r="G296" s="20">
        <v>0</v>
      </c>
      <c r="H296" s="20">
        <v>0</v>
      </c>
      <c r="I296" s="20">
        <v>0</v>
      </c>
      <c r="J296" s="20">
        <f>SUM(D296:I296)</f>
        <v>0</v>
      </c>
      <c r="K296" s="8"/>
      <c r="L296" s="8"/>
    </row>
    <row r="297" spans="1:12" ht="15.75" thickBot="1">
      <c r="A297" s="8"/>
      <c r="B297" s="8"/>
      <c r="C297" s="38"/>
      <c r="D297" s="29"/>
      <c r="E297" s="29"/>
      <c r="F297" s="29"/>
      <c r="G297" s="29">
        <v>0</v>
      </c>
      <c r="H297" s="29">
        <v>0</v>
      </c>
      <c r="I297" s="29">
        <v>0</v>
      </c>
      <c r="J297" s="29">
        <f>SUM(D297:I297)</f>
        <v>0</v>
      </c>
      <c r="K297" s="8"/>
      <c r="L297" s="8"/>
    </row>
    <row r="298" spans="1:12">
      <c r="A298" s="8"/>
      <c r="B298" s="8"/>
      <c r="C298" s="8"/>
      <c r="D298" s="20"/>
      <c r="E298" s="20"/>
      <c r="F298" s="20"/>
      <c r="G298" s="20"/>
      <c r="H298" s="20"/>
      <c r="I298" s="20"/>
      <c r="J298" s="20"/>
      <c r="K298" s="8"/>
      <c r="L298" s="8"/>
    </row>
    <row r="299" spans="1:12" ht="15.75" thickBot="1">
      <c r="A299" s="8"/>
      <c r="B299" s="8"/>
      <c r="C299" s="8" t="s">
        <v>10</v>
      </c>
      <c r="D299" s="31">
        <f t="shared" ref="D299:I299" si="46">SUM(D294:D297)</f>
        <v>15482.79</v>
      </c>
      <c r="E299" s="31">
        <f t="shared" si="46"/>
        <v>104.33</v>
      </c>
      <c r="F299" s="31">
        <f t="shared" si="46"/>
        <v>67.52</v>
      </c>
      <c r="G299" s="31">
        <f t="shared" si="46"/>
        <v>0</v>
      </c>
      <c r="H299" s="31">
        <f t="shared" si="46"/>
        <v>0</v>
      </c>
      <c r="I299" s="31">
        <f t="shared" si="46"/>
        <v>0</v>
      </c>
      <c r="J299" s="31">
        <f>SUM(D299:I299)</f>
        <v>15654.640000000001</v>
      </c>
      <c r="K299" s="8"/>
      <c r="L299" s="8"/>
    </row>
    <row r="300" spans="1:12" ht="15.75" thickTop="1">
      <c r="A300" s="8"/>
      <c r="B300" s="8"/>
      <c r="C300" s="8"/>
      <c r="D300" s="20"/>
      <c r="E300" s="20"/>
      <c r="F300" s="20"/>
      <c r="G300" s="20"/>
      <c r="H300" s="20"/>
      <c r="I300" s="20"/>
      <c r="J300" s="20"/>
      <c r="K300" s="8"/>
      <c r="L300" s="8"/>
    </row>
    <row r="301" spans="1:12">
      <c r="A301" s="8"/>
      <c r="B301" s="8"/>
      <c r="C301" s="8"/>
      <c r="D301" s="20"/>
      <c r="E301" s="20"/>
      <c r="F301" s="20"/>
      <c r="G301" s="20"/>
      <c r="H301" s="20"/>
      <c r="I301" s="20"/>
      <c r="J301" s="20"/>
      <c r="K301" s="8"/>
      <c r="L301" s="8"/>
    </row>
    <row r="302" spans="1:12">
      <c r="A302" s="8">
        <v>67</v>
      </c>
      <c r="B302" s="8" t="s">
        <v>62</v>
      </c>
      <c r="C302" s="8" t="s">
        <v>12</v>
      </c>
      <c r="D302" s="20">
        <v>34166.370000000003</v>
      </c>
      <c r="E302" s="20">
        <v>1224.78</v>
      </c>
      <c r="F302" s="20">
        <v>0</v>
      </c>
      <c r="G302" s="20">
        <v>0</v>
      </c>
      <c r="H302" s="20">
        <v>0</v>
      </c>
      <c r="I302" s="20">
        <v>0</v>
      </c>
      <c r="J302" s="20">
        <f>SUM(D302:I302)</f>
        <v>35391.15</v>
      </c>
      <c r="K302" s="8"/>
      <c r="L302" s="8"/>
    </row>
    <row r="303" spans="1:12" ht="15.75" thickBot="1">
      <c r="A303" s="8"/>
      <c r="B303" s="8"/>
      <c r="C303" s="8" t="s">
        <v>13</v>
      </c>
      <c r="D303" s="29">
        <v>439.29</v>
      </c>
      <c r="E303" s="29">
        <v>16.63</v>
      </c>
      <c r="F303" s="29">
        <v>0</v>
      </c>
      <c r="G303" s="29">
        <v>0</v>
      </c>
      <c r="H303" s="29">
        <v>0</v>
      </c>
      <c r="I303" s="29">
        <v>0</v>
      </c>
      <c r="J303" s="29">
        <f>SUM(D303:I303)</f>
        <v>455.92</v>
      </c>
      <c r="K303" s="8"/>
      <c r="L303" s="8"/>
    </row>
    <row r="304" spans="1:12">
      <c r="A304" s="8"/>
      <c r="B304" s="8"/>
      <c r="C304" s="8"/>
      <c r="D304" s="20"/>
      <c r="E304" s="20"/>
      <c r="F304" s="20"/>
      <c r="G304" s="20"/>
      <c r="H304" s="20"/>
      <c r="I304" s="20"/>
      <c r="J304" s="20"/>
      <c r="K304" s="8"/>
      <c r="L304" s="8"/>
    </row>
    <row r="305" spans="1:12" ht="15.75" thickBot="1">
      <c r="A305" s="8"/>
      <c r="B305" s="8"/>
      <c r="C305" s="8" t="s">
        <v>10</v>
      </c>
      <c r="D305" s="31">
        <f t="shared" ref="D305:I305" si="47">SUM(D302:D303)</f>
        <v>34605.660000000003</v>
      </c>
      <c r="E305" s="31">
        <f t="shared" si="47"/>
        <v>1241.4100000000001</v>
      </c>
      <c r="F305" s="31">
        <f t="shared" si="47"/>
        <v>0</v>
      </c>
      <c r="G305" s="31">
        <f t="shared" si="47"/>
        <v>0</v>
      </c>
      <c r="H305" s="31">
        <f t="shared" si="47"/>
        <v>0</v>
      </c>
      <c r="I305" s="31">
        <f t="shared" si="47"/>
        <v>0</v>
      </c>
      <c r="J305" s="31">
        <f>SUM(D305:I305)</f>
        <v>35847.070000000007</v>
      </c>
      <c r="K305" s="8"/>
      <c r="L305" s="8"/>
    </row>
    <row r="306" spans="1:12" ht="15.75" thickTop="1">
      <c r="A306" s="8"/>
      <c r="B306" s="8"/>
      <c r="C306" s="8"/>
      <c r="D306" s="20"/>
      <c r="E306" s="20"/>
      <c r="F306" s="20"/>
      <c r="G306" s="20"/>
      <c r="H306" s="20"/>
      <c r="I306" s="20"/>
      <c r="J306" s="20"/>
      <c r="K306" s="8"/>
      <c r="L306" s="8"/>
    </row>
    <row r="307" spans="1:12">
      <c r="A307" s="8"/>
      <c r="B307" s="8"/>
      <c r="C307" s="8"/>
      <c r="D307" s="20"/>
      <c r="E307" s="20"/>
      <c r="F307" s="20"/>
      <c r="G307" s="20"/>
      <c r="H307" s="20"/>
      <c r="I307" s="20"/>
      <c r="J307" s="20"/>
      <c r="K307" s="8"/>
      <c r="L307" s="8"/>
    </row>
    <row r="308" spans="1:12">
      <c r="A308" s="8">
        <v>68</v>
      </c>
      <c r="B308" s="8" t="s">
        <v>63</v>
      </c>
      <c r="C308" s="8" t="s">
        <v>12</v>
      </c>
      <c r="D308" s="25">
        <v>11941.64</v>
      </c>
      <c r="E308" s="25">
        <v>106.49</v>
      </c>
      <c r="F308" s="25">
        <v>0</v>
      </c>
      <c r="G308" s="25">
        <v>0</v>
      </c>
      <c r="H308" s="25">
        <v>0</v>
      </c>
      <c r="I308" s="25">
        <v>0</v>
      </c>
      <c r="J308" s="25">
        <f>SUM(D308:I308)</f>
        <v>12048.13</v>
      </c>
      <c r="K308" s="8"/>
      <c r="L308" s="8"/>
    </row>
    <row r="309" spans="1:12" ht="15.75" hidden="1" thickBot="1">
      <c r="A309" s="8"/>
      <c r="B309" s="8"/>
      <c r="C309" s="8" t="s">
        <v>13</v>
      </c>
      <c r="D309" s="29"/>
      <c r="E309" s="29"/>
      <c r="F309" s="29"/>
      <c r="G309" s="29"/>
      <c r="H309" s="29"/>
      <c r="I309" s="29"/>
      <c r="J309" s="29"/>
      <c r="K309" s="8"/>
      <c r="L309" s="8"/>
    </row>
    <row r="310" spans="1:12">
      <c r="A310" s="8"/>
      <c r="B310" s="8"/>
      <c r="C310" s="8"/>
      <c r="D310" s="20"/>
      <c r="E310" s="20"/>
      <c r="F310" s="20"/>
      <c r="G310" s="20"/>
      <c r="H310" s="20"/>
      <c r="I310" s="20"/>
      <c r="J310" s="20"/>
      <c r="K310" s="8"/>
      <c r="L310" s="8"/>
    </row>
    <row r="311" spans="1:12" ht="15.75" thickBot="1">
      <c r="A311" s="8"/>
      <c r="B311" s="8"/>
      <c r="C311" s="8" t="s">
        <v>10</v>
      </c>
      <c r="D311" s="31">
        <f t="shared" ref="D311:I311" si="48">SUM(D308:D309)</f>
        <v>11941.64</v>
      </c>
      <c r="E311" s="31">
        <f t="shared" si="48"/>
        <v>106.49</v>
      </c>
      <c r="F311" s="31">
        <f t="shared" si="48"/>
        <v>0</v>
      </c>
      <c r="G311" s="31">
        <f t="shared" si="48"/>
        <v>0</v>
      </c>
      <c r="H311" s="31">
        <f t="shared" si="48"/>
        <v>0</v>
      </c>
      <c r="I311" s="31">
        <f t="shared" si="48"/>
        <v>0</v>
      </c>
      <c r="J311" s="31">
        <f>SUM(D311:I311)</f>
        <v>12048.13</v>
      </c>
      <c r="K311" s="8"/>
      <c r="L311" s="8"/>
    </row>
    <row r="312" spans="1:12" ht="15.75" thickTop="1">
      <c r="A312" s="8"/>
      <c r="B312" s="8"/>
      <c r="C312" s="8"/>
      <c r="D312" s="20"/>
      <c r="E312" s="20"/>
      <c r="F312" s="20"/>
      <c r="G312" s="20"/>
      <c r="H312" s="20"/>
      <c r="I312" s="20"/>
      <c r="J312" s="20"/>
      <c r="K312" s="8"/>
      <c r="L312" s="8"/>
    </row>
    <row r="313" spans="1:12">
      <c r="A313" s="8"/>
      <c r="B313" s="8"/>
      <c r="C313" s="8"/>
      <c r="D313" s="20"/>
      <c r="E313" s="20"/>
      <c r="F313" s="20"/>
      <c r="G313" s="20"/>
      <c r="H313" s="20"/>
      <c r="I313" s="20"/>
      <c r="J313" s="20"/>
      <c r="K313" s="8"/>
      <c r="L313" s="8"/>
    </row>
    <row r="314" spans="1:12">
      <c r="A314" s="8">
        <v>69</v>
      </c>
      <c r="B314" s="8" t="s">
        <v>64</v>
      </c>
      <c r="C314" s="8" t="s">
        <v>12</v>
      </c>
      <c r="D314" s="25">
        <v>8110.46</v>
      </c>
      <c r="E314" s="25">
        <v>408.11</v>
      </c>
      <c r="F314" s="25">
        <v>18.420000000000002</v>
      </c>
      <c r="G314" s="25">
        <v>0</v>
      </c>
      <c r="H314" s="25">
        <v>0</v>
      </c>
      <c r="I314" s="25">
        <v>0</v>
      </c>
      <c r="J314" s="25">
        <f>SUM(D314:I314)</f>
        <v>8536.99</v>
      </c>
      <c r="K314" s="8"/>
      <c r="L314" s="8"/>
    </row>
    <row r="315" spans="1:12" ht="15.75" hidden="1" thickBot="1">
      <c r="A315" s="8"/>
      <c r="B315" s="8"/>
      <c r="C315" s="8" t="s">
        <v>13</v>
      </c>
      <c r="D315" s="29"/>
      <c r="E315" s="29"/>
      <c r="F315" s="29"/>
      <c r="G315" s="29"/>
      <c r="H315" s="29"/>
      <c r="I315" s="29"/>
      <c r="J315" s="29">
        <v>0</v>
      </c>
      <c r="K315" s="8"/>
      <c r="L315" s="8"/>
    </row>
    <row r="316" spans="1:12">
      <c r="A316" s="8"/>
      <c r="B316" s="8"/>
      <c r="C316" s="8"/>
      <c r="D316" s="20"/>
      <c r="E316" s="20"/>
      <c r="F316" s="20"/>
      <c r="G316" s="20"/>
      <c r="H316" s="20"/>
      <c r="I316" s="20"/>
      <c r="J316" s="20"/>
      <c r="K316" s="8"/>
      <c r="L316" s="8"/>
    </row>
    <row r="317" spans="1:12" ht="15.75" thickBot="1">
      <c r="A317" s="8"/>
      <c r="B317" s="8"/>
      <c r="C317" s="8" t="s">
        <v>10</v>
      </c>
      <c r="D317" s="31">
        <f t="shared" ref="D317:I317" si="49">SUM(D314:D315)</f>
        <v>8110.46</v>
      </c>
      <c r="E317" s="31">
        <f t="shared" si="49"/>
        <v>408.11</v>
      </c>
      <c r="F317" s="31">
        <f t="shared" si="49"/>
        <v>18.420000000000002</v>
      </c>
      <c r="G317" s="31">
        <f t="shared" si="49"/>
        <v>0</v>
      </c>
      <c r="H317" s="31">
        <f t="shared" si="49"/>
        <v>0</v>
      </c>
      <c r="I317" s="31">
        <f t="shared" si="49"/>
        <v>0</v>
      </c>
      <c r="J317" s="31">
        <f>SUM(D317:I317)</f>
        <v>8536.99</v>
      </c>
      <c r="K317" s="8"/>
      <c r="L317" s="8"/>
    </row>
    <row r="318" spans="1:12" ht="15.75" thickTop="1">
      <c r="A318" s="8"/>
      <c r="B318" s="8"/>
      <c r="C318" s="8"/>
      <c r="D318" s="20"/>
      <c r="E318" s="20"/>
      <c r="F318" s="20"/>
      <c r="G318" s="20"/>
      <c r="H318" s="20"/>
      <c r="I318" s="20"/>
      <c r="J318" s="20"/>
      <c r="K318" s="8"/>
      <c r="L318" s="8"/>
    </row>
    <row r="319" spans="1:12">
      <c r="A319" s="8"/>
      <c r="B319" s="8"/>
      <c r="C319" s="8"/>
      <c r="D319" s="20"/>
      <c r="E319" s="20"/>
      <c r="F319" s="20"/>
      <c r="G319" s="20"/>
      <c r="H319" s="20"/>
      <c r="I319" s="20"/>
      <c r="J319" s="20"/>
      <c r="K319" s="8"/>
      <c r="L319" s="8"/>
    </row>
    <row r="320" spans="1:12">
      <c r="A320" s="8">
        <v>70</v>
      </c>
      <c r="B320" s="8" t="s">
        <v>65</v>
      </c>
      <c r="C320" s="8" t="s">
        <v>12</v>
      </c>
      <c r="D320" s="25">
        <v>14263.87</v>
      </c>
      <c r="E320" s="25">
        <v>6.24</v>
      </c>
      <c r="F320" s="25">
        <v>0</v>
      </c>
      <c r="G320" s="25">
        <v>0</v>
      </c>
      <c r="H320" s="25">
        <v>0</v>
      </c>
      <c r="I320" s="25">
        <v>0</v>
      </c>
      <c r="J320" s="25">
        <f>SUM(D320:I320)</f>
        <v>14270.11</v>
      </c>
      <c r="K320" s="8"/>
      <c r="L320" s="8"/>
    </row>
    <row r="321" spans="1:12" ht="15.75" hidden="1" thickBot="1">
      <c r="A321" s="8"/>
      <c r="B321" s="8"/>
      <c r="C321" s="8" t="s">
        <v>78</v>
      </c>
      <c r="D321" s="29"/>
      <c r="E321" s="29"/>
      <c r="F321" s="29"/>
      <c r="G321" s="29"/>
      <c r="H321" s="29"/>
      <c r="I321" s="29"/>
      <c r="J321" s="29">
        <f>SUM(D321:I321)</f>
        <v>0</v>
      </c>
      <c r="K321" s="8"/>
      <c r="L321" s="8"/>
    </row>
    <row r="322" spans="1:12">
      <c r="A322" s="8"/>
      <c r="B322" s="8"/>
      <c r="C322" s="8"/>
      <c r="D322" s="20"/>
      <c r="E322" s="20"/>
      <c r="F322" s="20"/>
      <c r="G322" s="20"/>
      <c r="H322" s="20"/>
      <c r="I322" s="20"/>
      <c r="J322" s="20"/>
      <c r="K322" s="8"/>
      <c r="L322" s="8"/>
    </row>
    <row r="323" spans="1:12" ht="15.75" thickBot="1">
      <c r="A323" s="8"/>
      <c r="B323" s="8"/>
      <c r="C323" s="8" t="s">
        <v>10</v>
      </c>
      <c r="D323" s="31">
        <f t="shared" ref="D323:I323" si="50">SUM(D320:D322)</f>
        <v>14263.87</v>
      </c>
      <c r="E323" s="31">
        <f t="shared" si="50"/>
        <v>6.24</v>
      </c>
      <c r="F323" s="31">
        <f t="shared" si="50"/>
        <v>0</v>
      </c>
      <c r="G323" s="31">
        <f t="shared" si="50"/>
        <v>0</v>
      </c>
      <c r="H323" s="31">
        <f t="shared" si="50"/>
        <v>0</v>
      </c>
      <c r="I323" s="31">
        <f t="shared" si="50"/>
        <v>0</v>
      </c>
      <c r="J323" s="31">
        <f>SUM(D323:I323)</f>
        <v>14270.11</v>
      </c>
      <c r="K323" s="8"/>
      <c r="L323" s="8"/>
    </row>
    <row r="324" spans="1:12" ht="15.75" thickTop="1">
      <c r="A324" s="8"/>
      <c r="B324" s="8"/>
      <c r="C324" s="8"/>
      <c r="D324" s="20"/>
      <c r="E324" s="20"/>
      <c r="F324" s="20"/>
      <c r="G324" s="20"/>
      <c r="H324" s="20"/>
      <c r="I324" s="20"/>
      <c r="J324" s="20"/>
      <c r="K324" s="8"/>
      <c r="L324" s="8"/>
    </row>
    <row r="325" spans="1:12">
      <c r="A325" s="8"/>
      <c r="B325" s="8"/>
      <c r="C325" s="8" t="s">
        <v>66</v>
      </c>
      <c r="D325" s="20">
        <f t="shared" ref="D325:I325" si="51">SUM(D9:D323)/2</f>
        <v>986356.50999999989</v>
      </c>
      <c r="E325" s="20">
        <f t="shared" si="51"/>
        <v>16573.420000000002</v>
      </c>
      <c r="F325" s="20">
        <f t="shared" si="51"/>
        <v>1782.44</v>
      </c>
      <c r="G325" s="20">
        <f t="shared" si="51"/>
        <v>0</v>
      </c>
      <c r="H325" s="20">
        <f t="shared" si="51"/>
        <v>0</v>
      </c>
      <c r="I325" s="20">
        <f t="shared" si="51"/>
        <v>0</v>
      </c>
      <c r="J325" s="20">
        <f>SUM(D325:I325)</f>
        <v>1004712.3699999999</v>
      </c>
      <c r="K325" s="8"/>
      <c r="L325" s="8"/>
    </row>
    <row r="326" spans="1:12">
      <c r="A326" s="8"/>
      <c r="B326" s="8"/>
      <c r="C326" s="8"/>
      <c r="D326" s="20"/>
      <c r="E326" s="20"/>
      <c r="F326" s="20"/>
      <c r="G326" s="20"/>
      <c r="H326" s="20"/>
      <c r="I326" s="20"/>
      <c r="J326" s="20"/>
      <c r="K326" s="8"/>
      <c r="L326" s="8"/>
    </row>
    <row r="327" spans="1:12">
      <c r="A327" s="8"/>
      <c r="B327" s="8"/>
      <c r="C327" s="8"/>
      <c r="D327" s="20"/>
      <c r="E327" s="20"/>
      <c r="F327" s="20"/>
      <c r="G327" s="20"/>
      <c r="H327" s="20"/>
      <c r="I327" s="20"/>
      <c r="J327" s="20"/>
      <c r="K327" s="8"/>
      <c r="L327" s="8"/>
    </row>
  </sheetData>
  <pageMargins left="0.25" right="0.25" top="0.25" bottom="0.25" header="0.5" footer="0.5"/>
  <pageSetup scale="70" fitToHeight="50" orientation="landscape" r:id="rId1"/>
  <headerFooter alignWithMargins="0"/>
  <rowBreaks count="51" manualBreakCount="51">
    <brk id="7" max="65535" man="1"/>
    <brk id="13" max="16383" man="1"/>
    <brk id="19" max="16383" man="1"/>
    <brk id="25" max="16383" man="1"/>
    <brk id="31" max="16383" man="1"/>
    <brk id="37" max="16383" man="1"/>
    <brk id="44" max="16383" man="1"/>
    <brk id="49" max="65535" man="1"/>
    <brk id="57" max="16383" man="1"/>
    <brk id="66" max="16383" man="1"/>
    <brk id="72" max="16383" man="1"/>
    <brk id="78" max="16383" man="1"/>
    <brk id="86" max="16383" man="1"/>
    <brk id="92" max="16383" man="1"/>
    <brk id="100" max="16383" man="1"/>
    <brk id="106" max="16383" man="1"/>
    <brk id="113" max="16383" man="1"/>
    <brk id="118" max="16383" man="1"/>
    <brk id="126" max="16383" man="1"/>
    <brk id="130" max="9" man="1"/>
    <brk id="136" max="16383" man="1"/>
    <brk id="143" max="16383" man="1"/>
    <brk id="149" max="16383" man="1"/>
    <brk id="157" max="16383" man="1"/>
    <brk id="162" max="9" man="1"/>
    <brk id="168" max="16383" man="1"/>
    <brk id="173" max="16383" man="1"/>
    <brk id="178" max="16383" man="1"/>
    <brk id="183" max="16383" man="1"/>
    <brk id="188" max="16383" man="1"/>
    <brk id="194" max="16383" man="1"/>
    <brk id="201" max="16383" man="1"/>
    <brk id="207" max="16383" man="1"/>
    <brk id="215" max="16383" man="1"/>
    <brk id="221" max="16383" man="1"/>
    <brk id="227" max="16383" man="1"/>
    <brk id="233" max="16383" man="1"/>
    <brk id="241" max="16383" man="1"/>
    <brk id="247" max="16383" man="1"/>
    <brk id="253" max="16383" man="1"/>
    <brk id="262" max="16383" man="1"/>
    <brk id="269" max="16383" man="1"/>
    <brk id="275" max="16383" man="1"/>
    <brk id="281" max="16383" man="1"/>
    <brk id="286" max="16383" man="1"/>
    <brk id="292" max="16383" man="1"/>
    <brk id="300" max="16383" man="1"/>
    <brk id="306" max="16383" man="1"/>
    <brk id="312" max="16383" man="1"/>
    <brk id="318" max="16383" man="1"/>
    <brk id="32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6FA6-6437-4CC3-9E80-C0D73A1FD849}">
  <sheetPr>
    <pageSetUpPr autoPageBreaks="0"/>
  </sheetPr>
  <dimension ref="A1:L324"/>
  <sheetViews>
    <sheetView showOutlineSymbols="0" defaultGridColor="0" view="pageBreakPreview" colorId="23" zoomScale="80" zoomScaleNormal="75" zoomScaleSheetLayoutView="80" workbookViewId="0">
      <selection activeCell="E8" sqref="E8"/>
    </sheetView>
  </sheetViews>
  <sheetFormatPr defaultColWidth="9.6640625" defaultRowHeight="15.75"/>
  <cols>
    <col min="1" max="1" width="9.6640625" style="60" customWidth="1"/>
    <col min="2" max="2" width="20.21875" style="60" customWidth="1"/>
    <col min="3" max="3" width="24.44140625" style="60" bestFit="1" customWidth="1"/>
    <col min="4" max="5" width="12.77734375" style="23" customWidth="1"/>
    <col min="6" max="6" width="12.6640625" style="23" customWidth="1"/>
    <col min="7" max="8" width="11.6640625" style="23" hidden="1" customWidth="1"/>
    <col min="9" max="9" width="9.6640625" style="23" hidden="1" customWidth="1"/>
    <col min="10" max="10" width="14.44140625" style="23" customWidth="1"/>
    <col min="11" max="16384" width="9.6640625" style="10"/>
  </cols>
  <sheetData>
    <row r="1" spans="1:12">
      <c r="A1" s="57"/>
      <c r="B1" s="57"/>
      <c r="C1" s="57"/>
      <c r="D1" s="20"/>
      <c r="E1" s="20"/>
      <c r="F1" s="20"/>
      <c r="G1" s="20"/>
      <c r="H1" s="20"/>
      <c r="I1" s="21"/>
      <c r="J1" s="20"/>
      <c r="K1" s="8"/>
      <c r="L1" s="8"/>
    </row>
    <row r="2" spans="1:12">
      <c r="A2" s="57"/>
      <c r="B2" s="57"/>
      <c r="C2" s="57"/>
      <c r="D2" s="20"/>
      <c r="E2" s="20"/>
      <c r="F2" s="20"/>
      <c r="G2" s="20"/>
      <c r="H2" s="20"/>
      <c r="I2" s="20"/>
      <c r="J2" s="20"/>
      <c r="K2" s="8"/>
      <c r="L2" s="8"/>
    </row>
    <row r="3" spans="1:12">
      <c r="A3" s="57"/>
      <c r="B3" s="57"/>
      <c r="C3" s="57"/>
      <c r="D3" s="20"/>
      <c r="E3" s="20"/>
      <c r="F3" s="20"/>
      <c r="G3" s="20"/>
      <c r="H3" s="20"/>
      <c r="I3" s="20"/>
      <c r="J3" s="20"/>
      <c r="K3" s="8"/>
      <c r="L3" s="8"/>
    </row>
    <row r="4" spans="1:12" s="56" customFormat="1" ht="18">
      <c r="A4" s="58"/>
      <c r="B4" s="54" t="s">
        <v>1</v>
      </c>
      <c r="C4" s="54"/>
      <c r="D4" s="55"/>
      <c r="E4" s="55"/>
      <c r="F4" s="55"/>
      <c r="G4" s="55"/>
      <c r="H4" s="55"/>
      <c r="I4" s="55"/>
      <c r="J4" s="55"/>
      <c r="K4" s="53"/>
      <c r="L4" s="53"/>
    </row>
    <row r="5" spans="1:12" s="56" customFormat="1" ht="18">
      <c r="A5" s="58"/>
      <c r="B5" s="54" t="s">
        <v>127</v>
      </c>
      <c r="C5" s="54"/>
      <c r="D5" s="55"/>
      <c r="E5" s="55"/>
      <c r="F5" s="55"/>
      <c r="G5" s="55"/>
      <c r="H5" s="55"/>
      <c r="I5" s="55"/>
      <c r="J5" s="55"/>
      <c r="K5" s="53"/>
      <c r="L5" s="53"/>
    </row>
    <row r="6" spans="1:12" s="56" customFormat="1" ht="18">
      <c r="A6" s="58"/>
      <c r="B6" s="54"/>
      <c r="C6" s="54"/>
      <c r="D6" s="55"/>
      <c r="E6" s="55"/>
      <c r="F6" s="55"/>
      <c r="G6" s="55"/>
      <c r="H6" s="55"/>
      <c r="I6" s="55"/>
      <c r="J6" s="55"/>
      <c r="K6" s="53"/>
      <c r="L6" s="53"/>
    </row>
    <row r="7" spans="1:12">
      <c r="A7" s="57"/>
      <c r="B7" s="57"/>
      <c r="C7" s="57"/>
      <c r="D7" s="20"/>
      <c r="E7" s="20"/>
      <c r="F7" s="20"/>
      <c r="G7" s="20"/>
      <c r="H7" s="20"/>
      <c r="I7" s="20"/>
      <c r="J7" s="20"/>
      <c r="K7" s="8"/>
      <c r="L7" s="8"/>
    </row>
    <row r="8" spans="1:12">
      <c r="A8" s="57"/>
      <c r="B8" s="59" t="s">
        <v>90</v>
      </c>
      <c r="C8" s="59" t="s">
        <v>4</v>
      </c>
      <c r="D8" s="62">
        <v>2019</v>
      </c>
      <c r="E8" s="62">
        <f>+D8-1</f>
        <v>2018</v>
      </c>
      <c r="F8" s="62">
        <f>+E8-1</f>
        <v>2017</v>
      </c>
      <c r="G8" s="63">
        <v>2011</v>
      </c>
      <c r="H8" s="63">
        <v>2010</v>
      </c>
      <c r="I8" s="63">
        <v>2009</v>
      </c>
      <c r="J8" s="63" t="s">
        <v>10</v>
      </c>
      <c r="K8" s="8"/>
      <c r="L8" s="8"/>
    </row>
    <row r="9" spans="1:12">
      <c r="A9" s="57"/>
      <c r="B9" s="57"/>
      <c r="C9" s="57"/>
      <c r="D9" s="20"/>
      <c r="E9" s="20"/>
      <c r="F9" s="20"/>
      <c r="G9" s="20"/>
      <c r="H9" s="20"/>
      <c r="I9" s="20"/>
      <c r="J9" s="20"/>
      <c r="K9" s="8"/>
      <c r="L9" s="8"/>
    </row>
    <row r="10" spans="1:12">
      <c r="A10" s="57">
        <v>21</v>
      </c>
      <c r="B10" s="57" t="s">
        <v>11</v>
      </c>
      <c r="C10" s="57" t="s">
        <v>12</v>
      </c>
      <c r="D10" s="20">
        <v>22881.759999999998</v>
      </c>
      <c r="E10" s="20">
        <v>4.1399999999999997</v>
      </c>
      <c r="F10" s="20">
        <v>0</v>
      </c>
      <c r="G10" s="20">
        <v>0</v>
      </c>
      <c r="H10" s="20">
        <v>0</v>
      </c>
      <c r="I10" s="20">
        <v>0</v>
      </c>
      <c r="J10" s="20">
        <f>SUM(D10:I10)</f>
        <v>22885.899999999998</v>
      </c>
      <c r="K10" s="8"/>
      <c r="L10" s="8"/>
    </row>
    <row r="11" spans="1:12" ht="16.5" thickBot="1">
      <c r="A11" s="57"/>
      <c r="B11" s="57"/>
      <c r="C11" s="57" t="s">
        <v>13</v>
      </c>
      <c r="D11" s="29">
        <v>419.49</v>
      </c>
      <c r="E11" s="29">
        <v>0.28000000000000003</v>
      </c>
      <c r="F11" s="29">
        <v>0</v>
      </c>
      <c r="G11" s="29">
        <v>0</v>
      </c>
      <c r="H11" s="29">
        <v>0</v>
      </c>
      <c r="I11" s="29">
        <v>0</v>
      </c>
      <c r="J11" s="29">
        <f>SUM(D11:I11)</f>
        <v>419.77</v>
      </c>
      <c r="K11" s="8"/>
      <c r="L11" s="8"/>
    </row>
    <row r="12" spans="1:12">
      <c r="A12" s="57"/>
      <c r="B12" s="57"/>
      <c r="C12" s="57"/>
      <c r="D12" s="20"/>
      <c r="E12" s="20"/>
      <c r="F12" s="20"/>
      <c r="G12" s="20"/>
      <c r="H12" s="20"/>
      <c r="I12" s="20"/>
      <c r="J12" s="20"/>
      <c r="K12" s="8"/>
      <c r="L12" s="8"/>
    </row>
    <row r="13" spans="1:12" ht="16.5" thickBot="1">
      <c r="A13" s="57"/>
      <c r="B13" s="57"/>
      <c r="C13" s="57" t="s">
        <v>10</v>
      </c>
      <c r="D13" s="31">
        <f t="shared" ref="D13:I13" si="0">SUM(D10:D11)</f>
        <v>23301.25</v>
      </c>
      <c r="E13" s="31">
        <f t="shared" si="0"/>
        <v>4.42</v>
      </c>
      <c r="F13" s="31">
        <f t="shared" si="0"/>
        <v>0</v>
      </c>
      <c r="G13" s="31">
        <f t="shared" si="0"/>
        <v>0</v>
      </c>
      <c r="H13" s="31">
        <f t="shared" si="0"/>
        <v>0</v>
      </c>
      <c r="I13" s="31">
        <f t="shared" si="0"/>
        <v>0</v>
      </c>
      <c r="J13" s="31">
        <f>SUM(D13:I13)</f>
        <v>23305.67</v>
      </c>
      <c r="K13" s="8"/>
      <c r="L13" s="8"/>
    </row>
    <row r="14" spans="1:12" ht="16.5" thickTop="1">
      <c r="A14" s="57"/>
      <c r="B14" s="57"/>
      <c r="C14" s="57"/>
      <c r="D14" s="20"/>
      <c r="E14" s="20"/>
      <c r="F14" s="20"/>
      <c r="G14" s="20"/>
      <c r="H14" s="20"/>
      <c r="I14" s="20"/>
      <c r="J14" s="20"/>
      <c r="K14" s="8"/>
      <c r="L14" s="8"/>
    </row>
    <row r="15" spans="1:12">
      <c r="A15" s="57"/>
      <c r="B15" s="57"/>
      <c r="C15" s="57"/>
      <c r="D15" s="20"/>
      <c r="E15" s="20"/>
      <c r="F15" s="20"/>
      <c r="G15" s="20"/>
      <c r="H15" s="20"/>
      <c r="I15" s="20"/>
      <c r="J15" s="20"/>
      <c r="K15" s="8"/>
      <c r="L15" s="8"/>
    </row>
    <row r="16" spans="1:12">
      <c r="A16" s="57">
        <v>22</v>
      </c>
      <c r="B16" s="57" t="s">
        <v>15</v>
      </c>
      <c r="C16" s="57" t="s">
        <v>12</v>
      </c>
      <c r="D16" s="20">
        <v>24896.2</v>
      </c>
      <c r="E16" s="20">
        <v>319.77999999999997</v>
      </c>
      <c r="F16" s="20">
        <v>65.930000000000007</v>
      </c>
      <c r="G16" s="20">
        <v>0</v>
      </c>
      <c r="H16" s="20">
        <v>0</v>
      </c>
      <c r="I16" s="20">
        <v>0</v>
      </c>
      <c r="J16" s="20">
        <f>SUM(D16:I16)</f>
        <v>25281.91</v>
      </c>
      <c r="K16" s="8"/>
      <c r="L16" s="8"/>
    </row>
    <row r="17" spans="1:12" ht="16.5" thickBot="1">
      <c r="A17" s="57"/>
      <c r="B17" s="57"/>
      <c r="C17" s="57" t="s">
        <v>13</v>
      </c>
      <c r="D17" s="29">
        <v>636.23</v>
      </c>
      <c r="E17" s="29">
        <v>8.17</v>
      </c>
      <c r="F17" s="29">
        <v>1.83</v>
      </c>
      <c r="G17" s="29">
        <v>0</v>
      </c>
      <c r="H17" s="29">
        <v>0</v>
      </c>
      <c r="I17" s="29">
        <v>0</v>
      </c>
      <c r="J17" s="29">
        <f>SUM(D17:I17)</f>
        <v>646.23</v>
      </c>
      <c r="K17" s="8"/>
      <c r="L17" s="8"/>
    </row>
    <row r="18" spans="1:12">
      <c r="A18" s="57"/>
      <c r="B18" s="57"/>
      <c r="C18" s="57"/>
      <c r="D18" s="20"/>
      <c r="E18" s="20"/>
      <c r="F18" s="20"/>
      <c r="G18" s="20"/>
      <c r="H18" s="20"/>
      <c r="I18" s="20"/>
      <c r="J18" s="20"/>
      <c r="K18" s="8"/>
      <c r="L18" s="8"/>
    </row>
    <row r="19" spans="1:12" ht="16.5" thickBot="1">
      <c r="A19" s="57"/>
      <c r="B19" s="57"/>
      <c r="C19" s="57" t="s">
        <v>10</v>
      </c>
      <c r="D19" s="31">
        <f t="shared" ref="D19:I19" si="1">SUM(D16:D17)</f>
        <v>25532.43</v>
      </c>
      <c r="E19" s="31">
        <f t="shared" si="1"/>
        <v>327.95</v>
      </c>
      <c r="F19" s="31">
        <f t="shared" si="1"/>
        <v>67.760000000000005</v>
      </c>
      <c r="G19" s="31">
        <f t="shared" si="1"/>
        <v>0</v>
      </c>
      <c r="H19" s="31">
        <f t="shared" si="1"/>
        <v>0</v>
      </c>
      <c r="I19" s="31">
        <f t="shared" si="1"/>
        <v>0</v>
      </c>
      <c r="J19" s="31">
        <f>SUM(D19:I19)</f>
        <v>25928.14</v>
      </c>
      <c r="K19" s="8"/>
      <c r="L19" s="8"/>
    </row>
    <row r="20" spans="1:12" ht="16.5" thickTop="1">
      <c r="A20" s="57"/>
      <c r="B20" s="57"/>
      <c r="C20" s="57"/>
      <c r="D20" s="20"/>
      <c r="E20" s="20"/>
      <c r="F20" s="20"/>
      <c r="G20" s="20"/>
      <c r="H20" s="20"/>
      <c r="I20" s="20"/>
      <c r="J20" s="20"/>
      <c r="K20" s="8"/>
      <c r="L20" s="8"/>
    </row>
    <row r="21" spans="1:12">
      <c r="A21" s="57"/>
      <c r="B21" s="57"/>
      <c r="C21" s="57"/>
      <c r="D21" s="20"/>
      <c r="E21" s="20"/>
      <c r="F21" s="20"/>
      <c r="G21" s="20"/>
      <c r="H21" s="20"/>
      <c r="I21" s="20"/>
      <c r="J21" s="20"/>
      <c r="K21" s="8"/>
      <c r="L21" s="8"/>
    </row>
    <row r="22" spans="1:12" ht="16.5" thickBot="1">
      <c r="A22" s="57">
        <v>23</v>
      </c>
      <c r="B22" s="57" t="s">
        <v>16</v>
      </c>
      <c r="C22" s="57" t="s">
        <v>12</v>
      </c>
      <c r="D22" s="29">
        <v>19418.54</v>
      </c>
      <c r="E22" s="50">
        <v>425.57</v>
      </c>
      <c r="F22" s="29">
        <v>57.91</v>
      </c>
      <c r="G22" s="29">
        <v>0</v>
      </c>
      <c r="H22" s="29">
        <v>0</v>
      </c>
      <c r="I22" s="29">
        <v>0</v>
      </c>
      <c r="J22" s="29">
        <f>SUM(D22:I22)</f>
        <v>19902.02</v>
      </c>
      <c r="K22" s="8"/>
      <c r="L22" s="8"/>
    </row>
    <row r="23" spans="1:12" ht="16.5" hidden="1" thickBot="1">
      <c r="A23" s="57"/>
      <c r="B23" s="57"/>
      <c r="C23" s="57" t="s">
        <v>13</v>
      </c>
      <c r="D23" s="29"/>
      <c r="E23" s="29"/>
      <c r="F23" s="29"/>
      <c r="G23" s="29"/>
      <c r="H23" s="29"/>
      <c r="I23" s="29"/>
      <c r="J23" s="29">
        <f>SUM(D23:I23)</f>
        <v>0</v>
      </c>
      <c r="K23" s="8"/>
      <c r="L23" s="8"/>
    </row>
    <row r="24" spans="1:12">
      <c r="A24" s="57"/>
      <c r="B24" s="57"/>
      <c r="C24" s="57"/>
      <c r="D24" s="20"/>
      <c r="E24" s="20"/>
      <c r="F24" s="20"/>
      <c r="G24" s="20"/>
      <c r="H24" s="20"/>
      <c r="I24" s="20"/>
      <c r="J24" s="20"/>
      <c r="K24" s="8"/>
      <c r="L24" s="8"/>
    </row>
    <row r="25" spans="1:12" ht="16.5" thickBot="1">
      <c r="A25" s="57"/>
      <c r="B25" s="57"/>
      <c r="C25" s="57" t="s">
        <v>10</v>
      </c>
      <c r="D25" s="31">
        <f t="shared" ref="D25:I25" si="2">SUM(D22:D23)</f>
        <v>19418.54</v>
      </c>
      <c r="E25" s="31">
        <f t="shared" si="2"/>
        <v>425.57</v>
      </c>
      <c r="F25" s="31">
        <f t="shared" si="2"/>
        <v>57.91</v>
      </c>
      <c r="G25" s="31">
        <f t="shared" si="2"/>
        <v>0</v>
      </c>
      <c r="H25" s="31">
        <f t="shared" si="2"/>
        <v>0</v>
      </c>
      <c r="I25" s="31">
        <f t="shared" si="2"/>
        <v>0</v>
      </c>
      <c r="J25" s="31">
        <f>SUM(D25:I25)</f>
        <v>19902.02</v>
      </c>
      <c r="K25" s="8"/>
      <c r="L25" s="8"/>
    </row>
    <row r="26" spans="1:12" ht="16.5" thickTop="1">
      <c r="A26" s="57"/>
      <c r="B26" s="57"/>
      <c r="C26" s="57"/>
      <c r="D26" s="20"/>
      <c r="E26" s="20"/>
      <c r="F26" s="20"/>
      <c r="G26" s="20"/>
      <c r="H26" s="20"/>
      <c r="I26" s="20"/>
      <c r="J26" s="20"/>
      <c r="K26" s="8"/>
      <c r="L26" s="8"/>
    </row>
    <row r="27" spans="1:12">
      <c r="A27" s="57"/>
      <c r="B27" s="57"/>
      <c r="C27" s="57"/>
      <c r="D27" s="20"/>
      <c r="E27" s="20"/>
      <c r="F27" s="20"/>
      <c r="G27" s="20"/>
      <c r="H27" s="20"/>
      <c r="I27" s="20"/>
      <c r="J27" s="20"/>
      <c r="K27" s="8"/>
      <c r="L27" s="8"/>
    </row>
    <row r="28" spans="1:12">
      <c r="A28" s="57"/>
      <c r="B28" s="57"/>
      <c r="C28" s="57"/>
      <c r="D28" s="20"/>
      <c r="E28" s="20"/>
      <c r="F28" s="20"/>
      <c r="G28" s="20"/>
      <c r="H28" s="20"/>
      <c r="I28" s="20"/>
      <c r="J28" s="20"/>
      <c r="K28" s="8"/>
      <c r="L28" s="8"/>
    </row>
    <row r="29" spans="1:12" ht="16.5" thickBot="1">
      <c r="A29" s="57">
        <v>24</v>
      </c>
      <c r="B29" s="57" t="s">
        <v>17</v>
      </c>
      <c r="C29" s="57" t="s">
        <v>12</v>
      </c>
      <c r="D29" s="29">
        <v>14103.85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f>SUM(D29:I29)</f>
        <v>14103.85</v>
      </c>
      <c r="K29" s="8"/>
      <c r="L29" s="8"/>
    </row>
    <row r="30" spans="1:12">
      <c r="A30" s="57"/>
      <c r="B30" s="57"/>
      <c r="C30" s="57"/>
      <c r="D30" s="20"/>
      <c r="E30" s="20"/>
      <c r="F30" s="20"/>
      <c r="G30" s="20"/>
      <c r="H30" s="20"/>
      <c r="I30" s="20"/>
      <c r="J30" s="20"/>
      <c r="K30" s="8"/>
      <c r="L30" s="8"/>
    </row>
    <row r="31" spans="1:12" ht="16.5" thickBot="1">
      <c r="A31" s="57"/>
      <c r="B31" s="57"/>
      <c r="C31" s="57" t="s">
        <v>10</v>
      </c>
      <c r="D31" s="31">
        <f t="shared" ref="D31:I31" si="3">SUM(D29:D30)</f>
        <v>14103.85</v>
      </c>
      <c r="E31" s="31">
        <f t="shared" si="3"/>
        <v>0</v>
      </c>
      <c r="F31" s="31">
        <f t="shared" si="3"/>
        <v>0</v>
      </c>
      <c r="G31" s="31">
        <f t="shared" si="3"/>
        <v>0</v>
      </c>
      <c r="H31" s="31">
        <f t="shared" si="3"/>
        <v>0</v>
      </c>
      <c r="I31" s="31">
        <f t="shared" si="3"/>
        <v>0</v>
      </c>
      <c r="J31" s="31">
        <f>SUM(D31:I31)</f>
        <v>14103.85</v>
      </c>
      <c r="K31" s="8"/>
      <c r="L31" s="8"/>
    </row>
    <row r="32" spans="1:12" ht="16.5" thickTop="1">
      <c r="A32" s="57"/>
      <c r="B32" s="57"/>
      <c r="C32" s="57"/>
      <c r="D32" s="20"/>
      <c r="E32" s="20"/>
      <c r="F32" s="20"/>
      <c r="G32" s="20"/>
      <c r="H32" s="20"/>
      <c r="I32" s="20"/>
      <c r="J32" s="20"/>
      <c r="K32" s="8"/>
      <c r="L32" s="8"/>
    </row>
    <row r="33" spans="1:12">
      <c r="A33" s="57"/>
      <c r="B33" s="57"/>
      <c r="C33" s="57"/>
      <c r="D33" s="20"/>
      <c r="E33" s="20"/>
      <c r="F33" s="20"/>
      <c r="G33" s="20"/>
      <c r="H33" s="20"/>
      <c r="I33" s="20"/>
      <c r="J33" s="20"/>
      <c r="K33" s="8"/>
      <c r="L33" s="8"/>
    </row>
    <row r="34" spans="1:12" ht="16.5" thickBot="1">
      <c r="A34" s="57">
        <v>25</v>
      </c>
      <c r="B34" s="57" t="s">
        <v>18</v>
      </c>
      <c r="C34" s="57" t="s">
        <v>12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f>SUM(D34:I34)</f>
        <v>0</v>
      </c>
      <c r="K34" s="8"/>
      <c r="L34" s="8"/>
    </row>
    <row r="35" spans="1:12">
      <c r="A35" s="57"/>
      <c r="B35" s="57"/>
      <c r="C35" s="57"/>
      <c r="D35" s="20"/>
      <c r="E35" s="20"/>
      <c r="F35" s="20"/>
      <c r="G35" s="20"/>
      <c r="H35" s="20"/>
      <c r="I35" s="20"/>
      <c r="J35" s="20"/>
      <c r="K35" s="8"/>
      <c r="L35" s="8"/>
    </row>
    <row r="36" spans="1:12" ht="16.5" thickBot="1">
      <c r="A36" s="57"/>
      <c r="B36" s="57"/>
      <c r="C36" s="57" t="s">
        <v>10</v>
      </c>
      <c r="D36" s="31">
        <f t="shared" ref="D36:I36" si="4">SUM(D34:D35)</f>
        <v>0</v>
      </c>
      <c r="E36" s="31">
        <f t="shared" si="4"/>
        <v>0</v>
      </c>
      <c r="F36" s="31">
        <f t="shared" si="4"/>
        <v>0</v>
      </c>
      <c r="G36" s="31">
        <f t="shared" si="4"/>
        <v>0</v>
      </c>
      <c r="H36" s="31">
        <f t="shared" si="4"/>
        <v>0</v>
      </c>
      <c r="I36" s="31">
        <f t="shared" si="4"/>
        <v>0</v>
      </c>
      <c r="J36" s="31">
        <f>SUM(D36:I36)</f>
        <v>0</v>
      </c>
      <c r="K36" s="8"/>
      <c r="L36" s="8"/>
    </row>
    <row r="37" spans="1:12" ht="16.5" thickTop="1">
      <c r="A37" s="57"/>
      <c r="B37" s="57"/>
      <c r="C37" s="57"/>
      <c r="D37" s="20"/>
      <c r="E37" s="20"/>
      <c r="F37" s="20"/>
      <c r="G37" s="20"/>
      <c r="H37" s="20"/>
      <c r="I37" s="20"/>
      <c r="J37" s="20"/>
      <c r="K37" s="8"/>
      <c r="L37" s="8"/>
    </row>
    <row r="38" spans="1:12">
      <c r="A38" s="57"/>
      <c r="B38" s="57"/>
      <c r="C38" s="57"/>
      <c r="D38" s="20"/>
      <c r="E38" s="20"/>
      <c r="F38" s="20"/>
      <c r="G38" s="20"/>
      <c r="H38" s="20"/>
      <c r="I38" s="20"/>
      <c r="J38" s="20"/>
      <c r="K38" s="8"/>
      <c r="L38" s="8"/>
    </row>
    <row r="39" spans="1:12" ht="16.5" thickBot="1">
      <c r="A39" s="57">
        <v>26</v>
      </c>
      <c r="B39" s="57" t="s">
        <v>19</v>
      </c>
      <c r="C39" s="57" t="s">
        <v>12</v>
      </c>
      <c r="D39" s="29">
        <v>17909.560000000001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f>SUM(D39:I39)</f>
        <v>17909.560000000001</v>
      </c>
      <c r="K39" s="8"/>
      <c r="L39" s="8"/>
    </row>
    <row r="40" spans="1:12" ht="16.5" hidden="1" thickBot="1">
      <c r="A40" s="57"/>
      <c r="B40" s="57"/>
      <c r="C40" s="57" t="s">
        <v>13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f>SUM(D40:I40)</f>
        <v>0</v>
      </c>
      <c r="K40" s="8"/>
      <c r="L40" s="8"/>
    </row>
    <row r="41" spans="1:12">
      <c r="A41" s="57"/>
      <c r="B41" s="57"/>
      <c r="C41" s="57"/>
      <c r="D41" s="20"/>
      <c r="E41" s="20"/>
      <c r="F41" s="20"/>
      <c r="G41" s="20"/>
      <c r="H41" s="20"/>
      <c r="I41" s="20"/>
      <c r="J41" s="20"/>
      <c r="K41" s="8"/>
      <c r="L41" s="8"/>
    </row>
    <row r="42" spans="1:12" ht="16.5" thickBot="1">
      <c r="A42" s="57"/>
      <c r="B42" s="57"/>
      <c r="C42" s="57" t="s">
        <v>10</v>
      </c>
      <c r="D42" s="31">
        <f t="shared" ref="D42:I42" si="5">SUM(D39:D40)</f>
        <v>17909.560000000001</v>
      </c>
      <c r="E42" s="31">
        <f t="shared" si="5"/>
        <v>0</v>
      </c>
      <c r="F42" s="31">
        <f t="shared" si="5"/>
        <v>0</v>
      </c>
      <c r="G42" s="31">
        <f t="shared" si="5"/>
        <v>0</v>
      </c>
      <c r="H42" s="31">
        <f t="shared" si="5"/>
        <v>0</v>
      </c>
      <c r="I42" s="31">
        <f t="shared" si="5"/>
        <v>0</v>
      </c>
      <c r="J42" s="31">
        <f>SUM(D42:I42)</f>
        <v>17909.560000000001</v>
      </c>
      <c r="K42" s="8"/>
      <c r="L42" s="8"/>
    </row>
    <row r="43" spans="1:12" ht="16.5" thickTop="1">
      <c r="A43" s="57"/>
      <c r="B43" s="57"/>
      <c r="C43" s="57"/>
      <c r="D43" s="20"/>
      <c r="E43" s="20"/>
      <c r="F43" s="20"/>
      <c r="G43" s="20"/>
      <c r="H43" s="20"/>
      <c r="I43" s="20"/>
      <c r="J43" s="20"/>
      <c r="K43" s="8"/>
      <c r="L43" s="8"/>
    </row>
    <row r="44" spans="1:12">
      <c r="A44" s="57"/>
      <c r="B44" s="57"/>
      <c r="C44" s="57"/>
      <c r="D44" s="20"/>
      <c r="E44" s="20"/>
      <c r="F44" s="20"/>
      <c r="G44" s="20"/>
      <c r="H44" s="20"/>
      <c r="I44" s="20"/>
      <c r="J44" s="20"/>
      <c r="K44" s="8"/>
      <c r="L44" s="8"/>
    </row>
    <row r="45" spans="1:12" ht="16.5" thickBot="1">
      <c r="A45" s="57">
        <v>27</v>
      </c>
      <c r="B45" s="57" t="s">
        <v>20</v>
      </c>
      <c r="C45" s="57" t="s">
        <v>12</v>
      </c>
      <c r="D45" s="29">
        <v>23900.95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f>SUM(D45:I45)</f>
        <v>23900.95</v>
      </c>
      <c r="K45" s="8"/>
      <c r="L45" s="8"/>
    </row>
    <row r="46" spans="1:12">
      <c r="A46" s="57"/>
      <c r="B46" s="57"/>
      <c r="C46" s="57"/>
      <c r="D46" s="20"/>
      <c r="E46" s="20"/>
      <c r="F46" s="20"/>
      <c r="G46" s="20"/>
      <c r="H46" s="20"/>
      <c r="I46" s="20"/>
      <c r="J46" s="20"/>
      <c r="K46" s="8"/>
      <c r="L46" s="8"/>
    </row>
    <row r="47" spans="1:12" ht="16.5" thickBot="1">
      <c r="A47" s="57"/>
      <c r="B47" s="57"/>
      <c r="C47" s="57" t="s">
        <v>10</v>
      </c>
      <c r="D47" s="31">
        <f t="shared" ref="D47:I47" si="6">SUM(D45:D46)</f>
        <v>23900.95</v>
      </c>
      <c r="E47" s="31">
        <f t="shared" si="6"/>
        <v>0</v>
      </c>
      <c r="F47" s="31">
        <f t="shared" si="6"/>
        <v>0</v>
      </c>
      <c r="G47" s="31">
        <f t="shared" si="6"/>
        <v>0</v>
      </c>
      <c r="H47" s="31">
        <f t="shared" si="6"/>
        <v>0</v>
      </c>
      <c r="I47" s="31">
        <f t="shared" si="6"/>
        <v>0</v>
      </c>
      <c r="J47" s="31">
        <f>SUM(D47:I47)</f>
        <v>23900.95</v>
      </c>
      <c r="K47" s="8"/>
      <c r="L47" s="8"/>
    </row>
    <row r="48" spans="1:12" ht="16.5" thickTop="1">
      <c r="A48" s="57"/>
      <c r="B48" s="57"/>
      <c r="C48" s="57"/>
      <c r="D48" s="20"/>
      <c r="E48" s="20"/>
      <c r="F48" s="20"/>
      <c r="G48" s="20"/>
      <c r="H48" s="20"/>
      <c r="I48" s="20"/>
      <c r="J48" s="20"/>
      <c r="K48" s="8"/>
      <c r="L48" s="8"/>
    </row>
    <row r="49" spans="1:12">
      <c r="A49" s="57"/>
      <c r="B49" s="57"/>
      <c r="C49" s="57"/>
      <c r="D49" s="20"/>
      <c r="E49" s="20"/>
      <c r="F49" s="20"/>
      <c r="G49" s="20"/>
      <c r="H49" s="20"/>
      <c r="I49" s="20"/>
      <c r="J49" s="20"/>
      <c r="K49" s="8"/>
      <c r="L49" s="8"/>
    </row>
    <row r="50" spans="1:12">
      <c r="A50" s="57"/>
      <c r="B50" s="57"/>
      <c r="C50" s="57"/>
      <c r="D50" s="20"/>
      <c r="E50" s="20"/>
      <c r="F50" s="20"/>
      <c r="G50" s="20"/>
      <c r="H50" s="20"/>
      <c r="I50" s="20"/>
      <c r="J50" s="20"/>
      <c r="K50" s="8"/>
      <c r="L50" s="8"/>
    </row>
    <row r="51" spans="1:12" ht="16.5" thickBot="1">
      <c r="A51" s="57">
        <v>28</v>
      </c>
      <c r="B51" s="57" t="s">
        <v>21</v>
      </c>
      <c r="C51" s="57" t="s">
        <v>12</v>
      </c>
      <c r="D51" s="29">
        <v>26354.43</v>
      </c>
      <c r="E51" s="29">
        <v>1248.96</v>
      </c>
      <c r="F51" s="29">
        <v>99.51</v>
      </c>
      <c r="G51" s="29">
        <v>0</v>
      </c>
      <c r="H51" s="29">
        <v>0</v>
      </c>
      <c r="I51" s="29">
        <v>0</v>
      </c>
      <c r="J51" s="29">
        <f>SUM(D51:I51)</f>
        <v>27702.899999999998</v>
      </c>
      <c r="K51" s="8"/>
      <c r="L51" s="8"/>
    </row>
    <row r="52" spans="1:12" ht="16.5" hidden="1" thickBot="1">
      <c r="A52" s="57"/>
      <c r="B52" s="57"/>
      <c r="C52" s="57" t="s">
        <v>13</v>
      </c>
      <c r="D52" s="29"/>
      <c r="E52" s="29"/>
      <c r="F52" s="29"/>
      <c r="G52" s="29"/>
      <c r="H52" s="29"/>
      <c r="I52" s="29"/>
      <c r="J52" s="29">
        <f>SUM(D52:I52)</f>
        <v>0</v>
      </c>
      <c r="K52" s="8"/>
      <c r="L52" s="8"/>
    </row>
    <row r="53" spans="1:12">
      <c r="A53" s="57"/>
      <c r="B53" s="57"/>
      <c r="C53" s="57"/>
      <c r="D53" s="20"/>
      <c r="E53" s="20"/>
      <c r="F53" s="20"/>
      <c r="G53" s="20"/>
      <c r="H53" s="20"/>
      <c r="I53" s="20"/>
      <c r="J53" s="20"/>
      <c r="K53" s="8"/>
      <c r="L53" s="8"/>
    </row>
    <row r="54" spans="1:12" ht="16.5" thickBot="1">
      <c r="A54" s="57"/>
      <c r="B54" s="57"/>
      <c r="C54" s="57" t="s">
        <v>10</v>
      </c>
      <c r="D54" s="31">
        <f t="shared" ref="D54:I54" si="7">SUM(D51:D52)</f>
        <v>26354.43</v>
      </c>
      <c r="E54" s="31">
        <f t="shared" si="7"/>
        <v>1248.96</v>
      </c>
      <c r="F54" s="31">
        <f t="shared" si="7"/>
        <v>99.51</v>
      </c>
      <c r="G54" s="31">
        <f t="shared" si="7"/>
        <v>0</v>
      </c>
      <c r="H54" s="31">
        <f t="shared" si="7"/>
        <v>0</v>
      </c>
      <c r="I54" s="31">
        <f t="shared" si="7"/>
        <v>0</v>
      </c>
      <c r="J54" s="31">
        <f>SUM(D54:I54)</f>
        <v>27702.899999999998</v>
      </c>
      <c r="K54" s="8"/>
      <c r="L54" s="8"/>
    </row>
    <row r="55" spans="1:12" ht="16.5" thickTop="1">
      <c r="A55" s="57"/>
      <c r="B55" s="57"/>
      <c r="C55" s="57"/>
      <c r="D55" s="20"/>
      <c r="E55" s="20"/>
      <c r="F55" s="20"/>
      <c r="G55" s="20"/>
      <c r="H55" s="20"/>
      <c r="I55" s="20"/>
      <c r="J55" s="20"/>
      <c r="K55" s="8"/>
      <c r="L55" s="8"/>
    </row>
    <row r="56" spans="1:12">
      <c r="A56" s="57"/>
      <c r="B56" s="57"/>
      <c r="C56" s="57"/>
      <c r="D56" s="20"/>
      <c r="E56" s="20"/>
      <c r="F56" s="20"/>
      <c r="G56" s="20"/>
      <c r="H56" s="20"/>
      <c r="I56" s="20"/>
      <c r="J56" s="20"/>
      <c r="K56" s="8"/>
      <c r="L56" s="8"/>
    </row>
    <row r="57" spans="1:12">
      <c r="A57" s="57">
        <v>29</v>
      </c>
      <c r="B57" s="57" t="s">
        <v>22</v>
      </c>
      <c r="C57" s="57" t="s">
        <v>12</v>
      </c>
      <c r="D57" s="20">
        <v>84891.45</v>
      </c>
      <c r="E57" s="20">
        <v>10.11</v>
      </c>
      <c r="F57" s="20">
        <v>0</v>
      </c>
      <c r="G57" s="20">
        <v>0</v>
      </c>
      <c r="H57" s="20">
        <v>0</v>
      </c>
      <c r="I57" s="20">
        <v>0</v>
      </c>
      <c r="J57" s="20">
        <f>SUM(D57:I57)</f>
        <v>84901.56</v>
      </c>
      <c r="K57" s="8"/>
      <c r="L57" s="8"/>
    </row>
    <row r="58" spans="1:12" hidden="1">
      <c r="A58" s="57"/>
      <c r="B58" s="57"/>
      <c r="C58" s="57" t="s">
        <v>35</v>
      </c>
      <c r="D58" s="20"/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f>SUM(D58:I58)</f>
        <v>0</v>
      </c>
      <c r="K58" s="8"/>
      <c r="L58" s="8"/>
    </row>
    <row r="59" spans="1:12">
      <c r="A59" s="57"/>
      <c r="B59" s="57"/>
      <c r="C59" s="57" t="s">
        <v>13</v>
      </c>
      <c r="D59" s="20">
        <v>1094.45</v>
      </c>
      <c r="E59" s="20">
        <v>0.26</v>
      </c>
      <c r="F59" s="20">
        <v>0</v>
      </c>
      <c r="G59" s="20">
        <v>0</v>
      </c>
      <c r="H59" s="20">
        <v>0</v>
      </c>
      <c r="I59" s="20">
        <v>0</v>
      </c>
      <c r="J59" s="20">
        <f>SUM(D59:I59)</f>
        <v>1094.71</v>
      </c>
      <c r="K59" s="8"/>
      <c r="L59" s="8"/>
    </row>
    <row r="60" spans="1:12" hidden="1">
      <c r="A60" s="57"/>
      <c r="B60" s="57"/>
      <c r="C60" s="57" t="s">
        <v>78</v>
      </c>
      <c r="D60" s="20"/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f>SUM(D60:I60)</f>
        <v>0</v>
      </c>
      <c r="K60" s="8"/>
      <c r="L60" s="8"/>
    </row>
    <row r="61" spans="1:12" ht="16.5" hidden="1" thickBot="1">
      <c r="A61" s="57"/>
      <c r="B61" s="57"/>
      <c r="C61" s="57" t="s">
        <v>114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f>SUM(D61:I61)</f>
        <v>0</v>
      </c>
      <c r="K61" s="8"/>
      <c r="L61" s="8"/>
    </row>
    <row r="62" spans="1:12">
      <c r="A62" s="57"/>
      <c r="B62" s="57"/>
      <c r="C62" s="57"/>
      <c r="D62" s="20"/>
      <c r="E62" s="20"/>
      <c r="F62" s="20"/>
      <c r="G62" s="20"/>
      <c r="H62" s="20"/>
      <c r="I62" s="20"/>
      <c r="J62" s="20"/>
      <c r="K62" s="8"/>
      <c r="L62" s="8"/>
    </row>
    <row r="63" spans="1:12" ht="16.5" thickBot="1">
      <c r="A63" s="57"/>
      <c r="B63" s="57"/>
      <c r="C63" s="57" t="s">
        <v>10</v>
      </c>
      <c r="D63" s="31">
        <f t="shared" ref="D63:I63" si="8">SUM(D57:D61)</f>
        <v>85985.9</v>
      </c>
      <c r="E63" s="31">
        <f t="shared" si="8"/>
        <v>10.37</v>
      </c>
      <c r="F63" s="31">
        <f t="shared" si="8"/>
        <v>0</v>
      </c>
      <c r="G63" s="31">
        <f t="shared" si="8"/>
        <v>0</v>
      </c>
      <c r="H63" s="31">
        <f t="shared" si="8"/>
        <v>0</v>
      </c>
      <c r="I63" s="31">
        <f t="shared" si="8"/>
        <v>0</v>
      </c>
      <c r="J63" s="31">
        <f>SUM(D63:I63)</f>
        <v>85996.26999999999</v>
      </c>
      <c r="K63" s="8"/>
      <c r="L63" s="8"/>
    </row>
    <row r="64" spans="1:12" ht="16.5" thickTop="1">
      <c r="A64" s="57"/>
      <c r="B64" s="57"/>
      <c r="C64" s="57"/>
      <c r="D64" s="20"/>
      <c r="E64" s="20"/>
      <c r="F64" s="20"/>
      <c r="G64" s="20"/>
      <c r="H64" s="20"/>
      <c r="I64" s="20"/>
      <c r="J64" s="20"/>
      <c r="K64" s="8"/>
      <c r="L64" s="8"/>
    </row>
    <row r="65" spans="1:12">
      <c r="A65" s="57"/>
      <c r="B65" s="57"/>
      <c r="C65" s="57"/>
      <c r="D65" s="20"/>
      <c r="E65" s="20"/>
      <c r="F65" s="20"/>
      <c r="G65" s="20"/>
      <c r="H65" s="20"/>
      <c r="I65" s="20"/>
      <c r="J65" s="20"/>
      <c r="K65" s="8"/>
      <c r="L65" s="8"/>
    </row>
    <row r="66" spans="1:12">
      <c r="A66" s="57">
        <v>30</v>
      </c>
      <c r="B66" s="57" t="s">
        <v>23</v>
      </c>
      <c r="C66" s="57" t="s">
        <v>12</v>
      </c>
      <c r="D66" s="20">
        <v>10959.29</v>
      </c>
      <c r="E66" s="20">
        <v>5.08</v>
      </c>
      <c r="F66" s="20">
        <v>0</v>
      </c>
      <c r="G66" s="20">
        <v>0</v>
      </c>
      <c r="H66" s="20">
        <v>0</v>
      </c>
      <c r="I66" s="20">
        <v>0</v>
      </c>
      <c r="J66" s="20">
        <f>SUM(D66:I66)</f>
        <v>10964.37</v>
      </c>
      <c r="K66" s="8"/>
      <c r="L66" s="8"/>
    </row>
    <row r="67" spans="1:12" ht="16.5" thickBot="1">
      <c r="A67" s="57"/>
      <c r="B67" s="57"/>
      <c r="C67" s="57" t="s">
        <v>116</v>
      </c>
      <c r="D67" s="29">
        <v>16384.150000000001</v>
      </c>
      <c r="E67" s="29">
        <v>8.35</v>
      </c>
      <c r="F67" s="29">
        <v>0</v>
      </c>
      <c r="G67" s="29">
        <v>0</v>
      </c>
      <c r="H67" s="29">
        <v>0</v>
      </c>
      <c r="I67" s="29">
        <v>0</v>
      </c>
      <c r="J67" s="29">
        <f>SUM(D67:I67)</f>
        <v>16392.5</v>
      </c>
      <c r="K67" s="8"/>
      <c r="L67" s="8"/>
    </row>
    <row r="68" spans="1:12">
      <c r="A68" s="57"/>
      <c r="B68" s="57"/>
      <c r="C68" s="57"/>
      <c r="D68" s="20"/>
      <c r="E68" s="20"/>
      <c r="F68" s="20"/>
      <c r="G68" s="20"/>
      <c r="H68" s="20"/>
      <c r="I68" s="20"/>
      <c r="J68" s="20"/>
      <c r="K68" s="8"/>
      <c r="L68" s="8"/>
    </row>
    <row r="69" spans="1:12" ht="16.5" thickBot="1">
      <c r="A69" s="57"/>
      <c r="B69" s="57"/>
      <c r="C69" s="61" t="s">
        <v>10</v>
      </c>
      <c r="D69" s="31">
        <f t="shared" ref="D69:I69" si="9">SUM(D66:D67)</f>
        <v>27343.440000000002</v>
      </c>
      <c r="E69" s="31">
        <f t="shared" si="9"/>
        <v>13.43</v>
      </c>
      <c r="F69" s="31">
        <f t="shared" si="9"/>
        <v>0</v>
      </c>
      <c r="G69" s="31">
        <f t="shared" si="9"/>
        <v>0</v>
      </c>
      <c r="H69" s="31">
        <f t="shared" si="9"/>
        <v>0</v>
      </c>
      <c r="I69" s="31">
        <f t="shared" si="9"/>
        <v>0</v>
      </c>
      <c r="J69" s="31">
        <f>SUM(D69:I69)</f>
        <v>27356.870000000003</v>
      </c>
      <c r="K69" s="8"/>
      <c r="L69" s="8"/>
    </row>
    <row r="70" spans="1:12" ht="16.5" thickTop="1">
      <c r="A70" s="57"/>
      <c r="B70" s="57"/>
      <c r="C70" s="57"/>
      <c r="D70" s="20"/>
      <c r="E70" s="20"/>
      <c r="F70" s="20"/>
      <c r="G70" s="20"/>
      <c r="H70" s="20"/>
      <c r="I70" s="20"/>
      <c r="J70" s="20"/>
      <c r="K70" s="8"/>
      <c r="L70" s="8"/>
    </row>
    <row r="71" spans="1:12">
      <c r="A71" s="57"/>
      <c r="B71" s="57"/>
      <c r="C71" s="57"/>
      <c r="D71" s="20"/>
      <c r="E71" s="20"/>
      <c r="F71" s="20"/>
      <c r="G71" s="20"/>
      <c r="H71" s="20"/>
      <c r="I71" s="20"/>
      <c r="J71" s="20"/>
      <c r="K71" s="8"/>
      <c r="L71" s="8"/>
    </row>
    <row r="72" spans="1:12">
      <c r="A72" s="57">
        <v>31</v>
      </c>
      <c r="B72" s="57" t="s">
        <v>24</v>
      </c>
      <c r="C72" s="57" t="s">
        <v>12</v>
      </c>
      <c r="D72" s="20">
        <v>11555.43</v>
      </c>
      <c r="E72" s="20">
        <v>289.87</v>
      </c>
      <c r="F72" s="20">
        <v>63.63</v>
      </c>
      <c r="G72" s="20">
        <v>0</v>
      </c>
      <c r="H72" s="20">
        <v>0</v>
      </c>
      <c r="I72" s="20">
        <v>0</v>
      </c>
      <c r="J72" s="20">
        <f>SUM(D72:I72)</f>
        <v>11908.93</v>
      </c>
      <c r="K72" s="8"/>
      <c r="L72" s="8"/>
    </row>
    <row r="73" spans="1:12" ht="16.5" thickBot="1">
      <c r="A73" s="57"/>
      <c r="B73" s="57"/>
      <c r="C73" s="57" t="s">
        <v>13</v>
      </c>
      <c r="D73" s="29">
        <v>1384.9</v>
      </c>
      <c r="E73" s="29">
        <v>11.73</v>
      </c>
      <c r="F73" s="29">
        <v>4.9800000000000004</v>
      </c>
      <c r="G73" s="29">
        <v>0</v>
      </c>
      <c r="H73" s="29">
        <v>0</v>
      </c>
      <c r="I73" s="29">
        <v>0</v>
      </c>
      <c r="J73" s="29">
        <f>SUM(D73:I73)</f>
        <v>1401.6100000000001</v>
      </c>
      <c r="K73" s="8"/>
      <c r="L73" s="8"/>
    </row>
    <row r="74" spans="1:12">
      <c r="A74" s="57"/>
      <c r="B74" s="57"/>
      <c r="C74" s="57"/>
      <c r="D74" s="20"/>
      <c r="E74" s="20"/>
      <c r="F74" s="20"/>
      <c r="G74" s="20"/>
      <c r="H74" s="20"/>
      <c r="I74" s="20"/>
      <c r="J74" s="20"/>
      <c r="K74" s="8"/>
      <c r="L74" s="8"/>
    </row>
    <row r="75" spans="1:12" ht="16.5" thickBot="1">
      <c r="A75" s="57"/>
      <c r="B75" s="57"/>
      <c r="C75" s="57" t="s">
        <v>10</v>
      </c>
      <c r="D75" s="31">
        <f t="shared" ref="D75:I75" si="10">SUM(D72:D73)</f>
        <v>12940.33</v>
      </c>
      <c r="E75" s="31">
        <f t="shared" si="10"/>
        <v>301.60000000000002</v>
      </c>
      <c r="F75" s="31">
        <f t="shared" si="10"/>
        <v>68.61</v>
      </c>
      <c r="G75" s="31">
        <f t="shared" si="10"/>
        <v>0</v>
      </c>
      <c r="H75" s="31">
        <f t="shared" si="10"/>
        <v>0</v>
      </c>
      <c r="I75" s="31">
        <f t="shared" si="10"/>
        <v>0</v>
      </c>
      <c r="J75" s="31">
        <f>SUM(D75:I75)</f>
        <v>13310.54</v>
      </c>
      <c r="K75" s="8"/>
      <c r="L75" s="8"/>
    </row>
    <row r="76" spans="1:12" ht="16.5" thickTop="1">
      <c r="A76" s="57"/>
      <c r="B76" s="57"/>
      <c r="C76" s="57"/>
      <c r="D76" s="20"/>
      <c r="E76" s="20"/>
      <c r="F76" s="20"/>
      <c r="G76" s="20"/>
      <c r="H76" s="20"/>
      <c r="I76" s="20"/>
      <c r="J76" s="20"/>
      <c r="K76" s="8"/>
      <c r="L76" s="8"/>
    </row>
    <row r="77" spans="1:12">
      <c r="A77" s="57"/>
      <c r="B77" s="57"/>
      <c r="C77" s="57"/>
      <c r="D77" s="20"/>
      <c r="E77" s="20"/>
      <c r="F77" s="20"/>
      <c r="G77" s="20"/>
      <c r="H77" s="20"/>
      <c r="I77" s="20"/>
      <c r="J77" s="20"/>
      <c r="K77" s="8"/>
      <c r="L77" s="8"/>
    </row>
    <row r="78" spans="1:12">
      <c r="A78" s="57">
        <v>32</v>
      </c>
      <c r="B78" s="57" t="s">
        <v>25</v>
      </c>
      <c r="C78" s="57" t="s">
        <v>12</v>
      </c>
      <c r="D78" s="20">
        <v>27054.23</v>
      </c>
      <c r="E78" s="20">
        <v>291.87</v>
      </c>
      <c r="F78" s="20">
        <v>5.75</v>
      </c>
      <c r="G78" s="20">
        <v>0</v>
      </c>
      <c r="H78" s="20">
        <v>0</v>
      </c>
      <c r="I78" s="20">
        <v>0</v>
      </c>
      <c r="J78" s="20">
        <f>SUM(D78:I78)</f>
        <v>27351.85</v>
      </c>
      <c r="K78" s="8"/>
      <c r="L78" s="8"/>
    </row>
    <row r="79" spans="1:12" ht="16.5" thickBot="1">
      <c r="A79" s="57"/>
      <c r="B79" s="57"/>
      <c r="C79" s="57" t="s">
        <v>13</v>
      </c>
      <c r="D79" s="29">
        <v>495.99</v>
      </c>
      <c r="E79" s="29">
        <v>6</v>
      </c>
      <c r="F79" s="29">
        <v>0.12</v>
      </c>
      <c r="G79" s="29">
        <v>0</v>
      </c>
      <c r="H79" s="29">
        <v>0</v>
      </c>
      <c r="I79" s="29">
        <v>0</v>
      </c>
      <c r="J79" s="29">
        <f>SUM(D79:I79)</f>
        <v>502.11</v>
      </c>
      <c r="K79" s="8"/>
      <c r="L79" s="8"/>
    </row>
    <row r="80" spans="1:12" hidden="1">
      <c r="A80" s="57"/>
      <c r="B80" s="57"/>
      <c r="C80" s="57" t="s">
        <v>73</v>
      </c>
      <c r="D80" s="20"/>
      <c r="E80" s="20"/>
      <c r="F80" s="20"/>
      <c r="G80" s="20"/>
      <c r="H80" s="20"/>
      <c r="I80" s="20"/>
      <c r="J80" s="20">
        <f>SUM(D80:I80)</f>
        <v>0</v>
      </c>
      <c r="K80" s="8"/>
      <c r="L80" s="8"/>
    </row>
    <row r="81" spans="1:12" ht="16.5" hidden="1" thickBot="1">
      <c r="A81" s="57"/>
      <c r="B81" s="57"/>
      <c r="C81" s="57" t="s">
        <v>78</v>
      </c>
      <c r="D81" s="29"/>
      <c r="E81" s="29"/>
      <c r="F81" s="29"/>
      <c r="G81" s="29"/>
      <c r="H81" s="29"/>
      <c r="I81" s="29"/>
      <c r="J81" s="29">
        <f>SUM(D81:I81)</f>
        <v>0</v>
      </c>
      <c r="K81" s="8"/>
      <c r="L81" s="8"/>
    </row>
    <row r="82" spans="1:12">
      <c r="A82" s="57"/>
      <c r="B82" s="57"/>
      <c r="C82" s="57"/>
      <c r="D82" s="20"/>
      <c r="E82" s="20"/>
      <c r="F82" s="20"/>
      <c r="G82" s="20"/>
      <c r="H82" s="20"/>
      <c r="I82" s="20"/>
      <c r="J82" s="20"/>
      <c r="K82" s="8"/>
      <c r="L82" s="8"/>
    </row>
    <row r="83" spans="1:12" ht="16.5" thickBot="1">
      <c r="A83" s="57"/>
      <c r="B83" s="57"/>
      <c r="C83" s="57" t="s">
        <v>10</v>
      </c>
      <c r="D83" s="31">
        <f t="shared" ref="D83:I83" si="11">SUM(D78:D81)</f>
        <v>27550.22</v>
      </c>
      <c r="E83" s="31">
        <f t="shared" si="11"/>
        <v>297.87</v>
      </c>
      <c r="F83" s="31">
        <f t="shared" si="11"/>
        <v>5.87</v>
      </c>
      <c r="G83" s="31">
        <f t="shared" si="11"/>
        <v>0</v>
      </c>
      <c r="H83" s="31">
        <f t="shared" si="11"/>
        <v>0</v>
      </c>
      <c r="I83" s="31">
        <f t="shared" si="11"/>
        <v>0</v>
      </c>
      <c r="J83" s="31">
        <f>SUM(D83:I83)</f>
        <v>27853.96</v>
      </c>
      <c r="K83" s="8"/>
      <c r="L83" s="8"/>
    </row>
    <row r="84" spans="1:12" ht="16.5" thickTop="1">
      <c r="A84" s="57"/>
      <c r="B84" s="57"/>
      <c r="C84" s="57"/>
      <c r="D84" s="20"/>
      <c r="E84" s="20"/>
      <c r="F84" s="20"/>
      <c r="G84" s="20"/>
      <c r="H84" s="20"/>
      <c r="I84" s="20"/>
      <c r="J84" s="20"/>
      <c r="K84" s="8"/>
      <c r="L84" s="8"/>
    </row>
    <row r="85" spans="1:12">
      <c r="A85" s="57"/>
      <c r="B85" s="57"/>
      <c r="C85" s="57"/>
      <c r="D85" s="20"/>
      <c r="E85" s="20"/>
      <c r="F85" s="20"/>
      <c r="G85" s="20"/>
      <c r="H85" s="20"/>
      <c r="I85" s="20"/>
      <c r="J85" s="20"/>
      <c r="K85" s="8"/>
      <c r="L85" s="8"/>
    </row>
    <row r="86" spans="1:12">
      <c r="A86" s="57">
        <v>33</v>
      </c>
      <c r="B86" s="57" t="s">
        <v>26</v>
      </c>
      <c r="C86" s="57" t="s">
        <v>12</v>
      </c>
      <c r="D86" s="20">
        <v>23406.1</v>
      </c>
      <c r="E86" s="20">
        <v>1392.18</v>
      </c>
      <c r="F86" s="20">
        <v>246.36</v>
      </c>
      <c r="G86" s="20">
        <v>0</v>
      </c>
      <c r="H86" s="20">
        <v>0</v>
      </c>
      <c r="I86" s="20">
        <v>0</v>
      </c>
      <c r="J86" s="20">
        <f>SUM(D86:I86)</f>
        <v>25044.639999999999</v>
      </c>
      <c r="K86" s="8"/>
      <c r="L86" s="8"/>
    </row>
    <row r="87" spans="1:12" ht="16.5" thickBot="1">
      <c r="A87" s="57"/>
      <c r="B87" s="57"/>
      <c r="C87" s="57" t="s">
        <v>13</v>
      </c>
      <c r="D87" s="29">
        <v>1637.72</v>
      </c>
      <c r="E87" s="29">
        <v>24.45</v>
      </c>
      <c r="F87" s="29">
        <v>4.1399999999999997</v>
      </c>
      <c r="G87" s="29">
        <v>0</v>
      </c>
      <c r="H87" s="29">
        <v>0</v>
      </c>
      <c r="I87" s="29">
        <v>0</v>
      </c>
      <c r="J87" s="29">
        <f>SUM(D87:I87)</f>
        <v>1666.3100000000002</v>
      </c>
      <c r="K87" s="8"/>
      <c r="L87" s="8"/>
    </row>
    <row r="88" spans="1:12">
      <c r="A88" s="57"/>
      <c r="B88" s="57"/>
      <c r="C88" s="57"/>
      <c r="D88" s="20"/>
      <c r="E88" s="20"/>
      <c r="F88" s="20"/>
      <c r="G88" s="20"/>
      <c r="H88" s="20"/>
      <c r="I88" s="20"/>
      <c r="J88" s="20"/>
      <c r="K88" s="8"/>
      <c r="L88" s="8"/>
    </row>
    <row r="89" spans="1:12" ht="16.5" thickBot="1">
      <c r="A89" s="57"/>
      <c r="B89" s="57"/>
      <c r="C89" s="57" t="s">
        <v>10</v>
      </c>
      <c r="D89" s="31">
        <f t="shared" ref="D89:I89" si="12">SUM(D86:D87)</f>
        <v>25043.82</v>
      </c>
      <c r="E89" s="31">
        <f t="shared" si="12"/>
        <v>1416.63</v>
      </c>
      <c r="F89" s="31">
        <f t="shared" si="12"/>
        <v>250.5</v>
      </c>
      <c r="G89" s="31">
        <f t="shared" si="12"/>
        <v>0</v>
      </c>
      <c r="H89" s="31">
        <f t="shared" si="12"/>
        <v>0</v>
      </c>
      <c r="I89" s="31">
        <f t="shared" si="12"/>
        <v>0</v>
      </c>
      <c r="J89" s="31">
        <f>SUM(D89:I89)</f>
        <v>26710.95</v>
      </c>
      <c r="K89" s="8"/>
      <c r="L89" s="8"/>
    </row>
    <row r="90" spans="1:12" ht="16.5" thickTop="1">
      <c r="A90" s="57"/>
      <c r="B90" s="57"/>
      <c r="C90" s="57"/>
      <c r="D90" s="20"/>
      <c r="E90" s="20"/>
      <c r="F90" s="20"/>
      <c r="G90" s="20"/>
      <c r="H90" s="20"/>
      <c r="I90" s="20"/>
      <c r="J90" s="20"/>
      <c r="K90" s="8"/>
      <c r="L90" s="8"/>
    </row>
    <row r="91" spans="1:12">
      <c r="A91" s="57"/>
      <c r="B91" s="57"/>
      <c r="C91" s="57"/>
      <c r="D91" s="20"/>
      <c r="E91" s="20"/>
      <c r="F91" s="20"/>
      <c r="G91" s="20"/>
      <c r="H91" s="20"/>
      <c r="I91" s="20"/>
      <c r="J91" s="20"/>
      <c r="K91" s="8"/>
      <c r="L91" s="8"/>
    </row>
    <row r="92" spans="1:12">
      <c r="A92" s="57">
        <v>34</v>
      </c>
      <c r="B92" s="57" t="s">
        <v>27</v>
      </c>
      <c r="C92" s="57" t="s">
        <v>12</v>
      </c>
      <c r="D92" s="20">
        <v>20015.96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f>SUM(D92:I92)</f>
        <v>20015.96</v>
      </c>
      <c r="K92" s="8"/>
      <c r="L92" s="8"/>
    </row>
    <row r="93" spans="1:12" hidden="1">
      <c r="A93" s="57"/>
      <c r="B93" s="57"/>
      <c r="C93" s="57" t="s">
        <v>35</v>
      </c>
      <c r="D93" s="20"/>
      <c r="E93" s="20"/>
      <c r="F93" s="20"/>
      <c r="G93" s="20">
        <v>0</v>
      </c>
      <c r="H93" s="20">
        <v>0</v>
      </c>
      <c r="I93" s="20">
        <v>0</v>
      </c>
      <c r="J93" s="20">
        <f>SUM(D93:I93)</f>
        <v>0</v>
      </c>
      <c r="K93" s="8"/>
      <c r="L93" s="8"/>
    </row>
    <row r="94" spans="1:12" hidden="1">
      <c r="A94" s="57"/>
      <c r="B94" s="57"/>
      <c r="C94" s="57" t="s">
        <v>13</v>
      </c>
      <c r="D94" s="20"/>
      <c r="E94" s="20"/>
      <c r="F94" s="20"/>
      <c r="G94" s="20">
        <v>0</v>
      </c>
      <c r="H94" s="20">
        <v>0</v>
      </c>
      <c r="I94" s="20">
        <v>0</v>
      </c>
      <c r="J94" s="20">
        <f>SUM(D94:I94)</f>
        <v>0</v>
      </c>
      <c r="K94" s="8"/>
      <c r="L94" s="8"/>
    </row>
    <row r="95" spans="1:12" ht="16.5" thickBot="1">
      <c r="A95" s="57"/>
      <c r="B95" s="57"/>
      <c r="C95" s="57" t="s">
        <v>13</v>
      </c>
      <c r="D95" s="29">
        <v>535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f>SUM(D95:I95)</f>
        <v>535</v>
      </c>
      <c r="K95" s="8"/>
      <c r="L95" s="8"/>
    </row>
    <row r="96" spans="1:12">
      <c r="A96" s="57"/>
      <c r="B96" s="57"/>
      <c r="C96" s="57"/>
      <c r="D96" s="20"/>
      <c r="E96" s="20"/>
      <c r="F96" s="20"/>
      <c r="G96" s="20"/>
      <c r="H96" s="20"/>
      <c r="I96" s="20"/>
      <c r="J96" s="20"/>
      <c r="K96" s="8"/>
      <c r="L96" s="8"/>
    </row>
    <row r="97" spans="1:12" ht="16.5" thickBot="1">
      <c r="A97" s="57"/>
      <c r="B97" s="57"/>
      <c r="C97" s="57" t="s">
        <v>10</v>
      </c>
      <c r="D97" s="31">
        <f t="shared" ref="D97:I97" si="13">SUM(D92:D96)</f>
        <v>20550.96</v>
      </c>
      <c r="E97" s="31">
        <f t="shared" si="13"/>
        <v>0</v>
      </c>
      <c r="F97" s="31">
        <f t="shared" si="13"/>
        <v>0</v>
      </c>
      <c r="G97" s="31">
        <f t="shared" si="13"/>
        <v>0</v>
      </c>
      <c r="H97" s="31">
        <f t="shared" si="13"/>
        <v>0</v>
      </c>
      <c r="I97" s="31">
        <f t="shared" si="13"/>
        <v>0</v>
      </c>
      <c r="J97" s="31">
        <f>SUM(D97:I97)</f>
        <v>20550.96</v>
      </c>
      <c r="K97" s="8"/>
      <c r="L97" s="8"/>
    </row>
    <row r="98" spans="1:12" ht="16.5" thickTop="1">
      <c r="A98" s="57"/>
      <c r="B98" s="57"/>
      <c r="C98" s="57"/>
      <c r="D98" s="20"/>
      <c r="E98" s="20"/>
      <c r="F98" s="20"/>
      <c r="G98" s="20"/>
      <c r="H98" s="20"/>
      <c r="I98" s="20"/>
      <c r="J98" s="20"/>
      <c r="K98" s="8"/>
      <c r="L98" s="8"/>
    </row>
    <row r="99" spans="1:12">
      <c r="A99" s="57"/>
      <c r="B99" s="57"/>
      <c r="C99" s="57"/>
      <c r="D99" s="20"/>
      <c r="E99" s="20"/>
      <c r="F99" s="20"/>
      <c r="G99" s="20"/>
      <c r="H99" s="20"/>
      <c r="I99" s="20"/>
      <c r="J99" s="20"/>
      <c r="K99" s="8"/>
      <c r="L99" s="8"/>
    </row>
    <row r="100" spans="1:12">
      <c r="A100" s="57">
        <v>35</v>
      </c>
      <c r="B100" s="57" t="s">
        <v>28</v>
      </c>
      <c r="C100" s="57" t="s">
        <v>12</v>
      </c>
      <c r="D100" s="20">
        <v>12488.21</v>
      </c>
      <c r="E100" s="20">
        <v>386.93</v>
      </c>
      <c r="F100" s="20">
        <v>0</v>
      </c>
      <c r="G100" s="20">
        <v>0</v>
      </c>
      <c r="H100" s="20">
        <v>0</v>
      </c>
      <c r="I100" s="20">
        <v>0</v>
      </c>
      <c r="J100" s="20">
        <f>SUM(D100:I100)</f>
        <v>12875.14</v>
      </c>
      <c r="K100" s="8"/>
      <c r="L100" s="8"/>
    </row>
    <row r="101" spans="1:12" ht="16.5" thickBot="1">
      <c r="A101" s="57"/>
      <c r="B101" s="57"/>
      <c r="C101" s="57" t="s">
        <v>116</v>
      </c>
      <c r="D101" s="29">
        <v>6926.57</v>
      </c>
      <c r="E101" s="29">
        <v>224.1</v>
      </c>
      <c r="F101" s="29">
        <v>0</v>
      </c>
      <c r="G101" s="29"/>
      <c r="H101" s="29"/>
      <c r="I101" s="29"/>
      <c r="J101" s="29">
        <f>SUM(D101:I101)</f>
        <v>7150.67</v>
      </c>
      <c r="K101" s="8"/>
      <c r="L101" s="8"/>
    </row>
    <row r="102" spans="1:12">
      <c r="A102" s="57"/>
      <c r="B102" s="57"/>
      <c r="C102" s="57"/>
      <c r="D102" s="20"/>
      <c r="E102" s="20"/>
      <c r="F102" s="20"/>
      <c r="G102" s="20"/>
      <c r="H102" s="20"/>
      <c r="I102" s="20"/>
      <c r="J102" s="20"/>
      <c r="K102" s="8"/>
      <c r="L102" s="8"/>
    </row>
    <row r="103" spans="1:12" ht="16.5" thickBot="1">
      <c r="A103" s="57"/>
      <c r="B103" s="57"/>
      <c r="C103" s="57" t="s">
        <v>10</v>
      </c>
      <c r="D103" s="31">
        <f t="shared" ref="D103:I103" si="14">SUM(D100:D102)</f>
        <v>19414.78</v>
      </c>
      <c r="E103" s="31">
        <f t="shared" si="14"/>
        <v>611.03</v>
      </c>
      <c r="F103" s="31">
        <f t="shared" si="14"/>
        <v>0</v>
      </c>
      <c r="G103" s="31">
        <f t="shared" si="14"/>
        <v>0</v>
      </c>
      <c r="H103" s="31">
        <f t="shared" si="14"/>
        <v>0</v>
      </c>
      <c r="I103" s="31">
        <f t="shared" si="14"/>
        <v>0</v>
      </c>
      <c r="J103" s="31">
        <f>SUM(D103:I103)</f>
        <v>20025.809999999998</v>
      </c>
      <c r="K103" s="8"/>
      <c r="L103" s="8"/>
    </row>
    <row r="104" spans="1:12" ht="16.5" thickTop="1">
      <c r="A104" s="57"/>
      <c r="B104" s="57"/>
      <c r="C104" s="57"/>
      <c r="D104" s="20"/>
      <c r="E104" s="20"/>
      <c r="F104" s="20"/>
      <c r="G104" s="20"/>
      <c r="H104" s="20"/>
      <c r="I104" s="20"/>
      <c r="J104" s="20"/>
      <c r="K104" s="8"/>
      <c r="L104" s="8"/>
    </row>
    <row r="105" spans="1:12">
      <c r="A105" s="57"/>
      <c r="B105" s="57"/>
      <c r="C105" s="57"/>
      <c r="D105" s="20"/>
      <c r="E105" s="20"/>
      <c r="F105" s="20"/>
      <c r="G105" s="20"/>
      <c r="H105" s="20"/>
      <c r="I105" s="20"/>
      <c r="J105" s="20"/>
      <c r="K105" s="8"/>
      <c r="L105" s="8"/>
    </row>
    <row r="106" spans="1:12">
      <c r="A106" s="57">
        <v>36</v>
      </c>
      <c r="B106" s="57" t="s">
        <v>29</v>
      </c>
      <c r="C106" s="57" t="s">
        <v>12</v>
      </c>
      <c r="D106" s="20">
        <v>30983.56</v>
      </c>
      <c r="E106" s="20">
        <v>915.79</v>
      </c>
      <c r="F106" s="20">
        <v>0</v>
      </c>
      <c r="G106" s="20">
        <v>0</v>
      </c>
      <c r="H106" s="20">
        <v>0</v>
      </c>
      <c r="I106" s="20">
        <v>0</v>
      </c>
      <c r="J106" s="20">
        <f>SUM(D106:I106)</f>
        <v>31899.350000000002</v>
      </c>
      <c r="K106" s="8"/>
      <c r="L106" s="8"/>
    </row>
    <row r="107" spans="1:12" hidden="1">
      <c r="A107" s="57"/>
      <c r="B107" s="57"/>
      <c r="C107" s="57" t="s">
        <v>13</v>
      </c>
      <c r="D107" s="20"/>
      <c r="E107" s="20"/>
      <c r="F107" s="20"/>
      <c r="G107" s="20">
        <v>0</v>
      </c>
      <c r="H107" s="20">
        <v>0</v>
      </c>
      <c r="I107" s="20">
        <v>0</v>
      </c>
      <c r="J107" s="20">
        <f>SUM(D107:I107)</f>
        <v>0</v>
      </c>
      <c r="K107" s="8"/>
      <c r="L107" s="8"/>
    </row>
    <row r="108" spans="1:12" ht="16.5" thickBot="1">
      <c r="A108" s="57"/>
      <c r="B108" s="57"/>
      <c r="C108" s="57" t="s">
        <v>13</v>
      </c>
      <c r="D108" s="29">
        <v>404.51</v>
      </c>
      <c r="E108" s="29">
        <v>12.21</v>
      </c>
      <c r="F108" s="29">
        <v>0</v>
      </c>
      <c r="G108" s="29">
        <v>0</v>
      </c>
      <c r="H108" s="29">
        <v>0</v>
      </c>
      <c r="I108" s="29">
        <v>0</v>
      </c>
      <c r="J108" s="29">
        <f>SUM(D108:I108)</f>
        <v>416.71999999999997</v>
      </c>
      <c r="K108" s="8"/>
      <c r="L108" s="8"/>
    </row>
    <row r="109" spans="1:12">
      <c r="A109" s="57"/>
      <c r="B109" s="57"/>
      <c r="C109" s="57"/>
      <c r="D109" s="20"/>
      <c r="E109" s="20"/>
      <c r="F109" s="20"/>
      <c r="G109" s="20"/>
      <c r="H109" s="20"/>
      <c r="I109" s="20"/>
      <c r="J109" s="20"/>
      <c r="K109" s="8"/>
      <c r="L109" s="8"/>
    </row>
    <row r="110" spans="1:12" ht="16.5" thickBot="1">
      <c r="A110" s="57"/>
      <c r="B110" s="57"/>
      <c r="C110" s="57" t="s">
        <v>10</v>
      </c>
      <c r="D110" s="31">
        <f t="shared" ref="D110:I110" si="15">SUM(D106:D108)</f>
        <v>31388.07</v>
      </c>
      <c r="E110" s="31">
        <f t="shared" si="15"/>
        <v>928</v>
      </c>
      <c r="F110" s="31">
        <f t="shared" si="15"/>
        <v>0</v>
      </c>
      <c r="G110" s="31">
        <f t="shared" si="15"/>
        <v>0</v>
      </c>
      <c r="H110" s="31">
        <f t="shared" si="15"/>
        <v>0</v>
      </c>
      <c r="I110" s="31">
        <f t="shared" si="15"/>
        <v>0</v>
      </c>
      <c r="J110" s="31">
        <f>SUM(D110:I110)</f>
        <v>32316.07</v>
      </c>
      <c r="K110" s="8"/>
      <c r="L110" s="8"/>
    </row>
    <row r="111" spans="1:12" ht="16.5" thickTop="1">
      <c r="A111" s="57"/>
      <c r="B111" s="57"/>
      <c r="C111" s="57"/>
      <c r="D111" s="20"/>
      <c r="E111" s="20"/>
      <c r="F111" s="20"/>
      <c r="G111" s="20"/>
      <c r="H111" s="20"/>
      <c r="I111" s="20"/>
      <c r="J111" s="20"/>
      <c r="K111" s="8"/>
      <c r="L111" s="8"/>
    </row>
    <row r="112" spans="1:12">
      <c r="A112" s="57"/>
      <c r="B112" s="57"/>
      <c r="C112" s="57"/>
      <c r="D112" s="20"/>
      <c r="E112" s="20"/>
      <c r="F112" s="20"/>
      <c r="G112" s="20"/>
      <c r="H112" s="20"/>
      <c r="I112" s="20"/>
      <c r="J112" s="20"/>
      <c r="K112" s="8"/>
      <c r="L112" s="8"/>
    </row>
    <row r="113" spans="1:12" ht="16.5" thickBot="1">
      <c r="A113" s="57">
        <v>37</v>
      </c>
      <c r="B113" s="57" t="s">
        <v>30</v>
      </c>
      <c r="C113" s="57" t="s">
        <v>12</v>
      </c>
      <c r="D113" s="29">
        <v>32583.14</v>
      </c>
      <c r="E113" s="29">
        <v>949.12</v>
      </c>
      <c r="F113" s="29">
        <v>0</v>
      </c>
      <c r="G113" s="29">
        <v>0</v>
      </c>
      <c r="H113" s="29">
        <v>0</v>
      </c>
      <c r="I113" s="29">
        <v>0</v>
      </c>
      <c r="J113" s="29">
        <f>SUM(D113:I113)</f>
        <v>33532.26</v>
      </c>
      <c r="K113" s="8"/>
      <c r="L113" s="8"/>
    </row>
    <row r="114" spans="1:12">
      <c r="A114" s="57"/>
      <c r="B114" s="57"/>
      <c r="C114" s="57"/>
      <c r="D114" s="20"/>
      <c r="E114" s="20"/>
      <c r="F114" s="20"/>
      <c r="G114" s="20"/>
      <c r="H114" s="20"/>
      <c r="I114" s="20"/>
      <c r="J114" s="20"/>
      <c r="K114" s="8"/>
      <c r="L114" s="8"/>
    </row>
    <row r="115" spans="1:12" ht="16.5" thickBot="1">
      <c r="A115" s="57"/>
      <c r="B115" s="57"/>
      <c r="C115" s="57" t="s">
        <v>10</v>
      </c>
      <c r="D115" s="31">
        <f t="shared" ref="D115:I115" si="16">SUM(D113:D114)</f>
        <v>32583.14</v>
      </c>
      <c r="E115" s="31">
        <f t="shared" si="16"/>
        <v>949.12</v>
      </c>
      <c r="F115" s="31">
        <f t="shared" si="16"/>
        <v>0</v>
      </c>
      <c r="G115" s="31">
        <f t="shared" si="16"/>
        <v>0</v>
      </c>
      <c r="H115" s="31">
        <f t="shared" si="16"/>
        <v>0</v>
      </c>
      <c r="I115" s="31">
        <f t="shared" si="16"/>
        <v>0</v>
      </c>
      <c r="J115" s="31">
        <f>SUM(D115:I115)</f>
        <v>33532.26</v>
      </c>
      <c r="K115" s="8"/>
      <c r="L115" s="8"/>
    </row>
    <row r="116" spans="1:12" ht="16.5" thickTop="1">
      <c r="A116" s="57"/>
      <c r="B116" s="57"/>
      <c r="C116" s="57"/>
      <c r="D116" s="20"/>
      <c r="E116" s="20"/>
      <c r="F116" s="20"/>
      <c r="G116" s="20"/>
      <c r="H116" s="20"/>
      <c r="I116" s="20"/>
      <c r="J116" s="20"/>
      <c r="K116" s="8"/>
      <c r="L116" s="8"/>
    </row>
    <row r="117" spans="1:12">
      <c r="A117" s="57"/>
      <c r="B117" s="57"/>
      <c r="C117" s="57"/>
      <c r="D117" s="20"/>
      <c r="E117" s="20"/>
      <c r="F117" s="20"/>
      <c r="G117" s="20"/>
      <c r="H117" s="20"/>
      <c r="I117" s="20"/>
      <c r="J117" s="20"/>
      <c r="K117" s="8"/>
      <c r="L117" s="8"/>
    </row>
    <row r="118" spans="1:12">
      <c r="A118" s="57">
        <v>38</v>
      </c>
      <c r="B118" s="57" t="s">
        <v>31</v>
      </c>
      <c r="C118" s="57" t="s">
        <v>12</v>
      </c>
      <c r="D118" s="20">
        <v>19828.22</v>
      </c>
      <c r="E118" s="20">
        <v>284.86</v>
      </c>
      <c r="F118" s="20">
        <v>152.47</v>
      </c>
      <c r="G118" s="20">
        <v>0</v>
      </c>
      <c r="H118" s="20">
        <v>0</v>
      </c>
      <c r="I118" s="20">
        <v>0</v>
      </c>
      <c r="J118" s="20">
        <f>SUM(D118:I118)</f>
        <v>20265.550000000003</v>
      </c>
      <c r="K118" s="8"/>
      <c r="L118" s="8"/>
    </row>
    <row r="119" spans="1:12" hidden="1">
      <c r="A119" s="57"/>
      <c r="B119" s="57"/>
      <c r="C119" s="57" t="s">
        <v>35</v>
      </c>
      <c r="D119" s="20"/>
      <c r="E119" s="20"/>
      <c r="F119" s="20">
        <v>0</v>
      </c>
      <c r="G119" s="20">
        <v>0</v>
      </c>
      <c r="H119" s="20">
        <v>0</v>
      </c>
      <c r="I119" s="20">
        <v>0</v>
      </c>
      <c r="J119" s="20">
        <f>SUM(D119:I119)</f>
        <v>0</v>
      </c>
      <c r="K119" s="8"/>
      <c r="L119" s="8"/>
    </row>
    <row r="120" spans="1:12" ht="16.5" thickBot="1">
      <c r="A120" s="57"/>
      <c r="B120" s="57"/>
      <c r="C120" s="57" t="s">
        <v>13</v>
      </c>
      <c r="D120" s="29">
        <v>528.76</v>
      </c>
      <c r="E120" s="29">
        <v>7.13</v>
      </c>
      <c r="F120" s="29">
        <v>4.2300000000000004</v>
      </c>
      <c r="G120" s="29">
        <v>0</v>
      </c>
      <c r="H120" s="29">
        <v>0</v>
      </c>
      <c r="I120" s="29">
        <v>0</v>
      </c>
      <c r="J120" s="29">
        <f>SUM(D120:I120)</f>
        <v>540.12</v>
      </c>
      <c r="K120" s="8"/>
      <c r="L120" s="8"/>
    </row>
    <row r="121" spans="1:12" ht="16.5" hidden="1" thickBot="1">
      <c r="A121" s="57"/>
      <c r="B121" s="57"/>
      <c r="C121" s="57" t="s">
        <v>78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f>SUM(D121:I121)</f>
        <v>0</v>
      </c>
      <c r="K121" s="8"/>
      <c r="L121" s="8"/>
    </row>
    <row r="122" spans="1:12">
      <c r="A122" s="57"/>
      <c r="B122" s="57"/>
      <c r="C122" s="57"/>
      <c r="D122" s="20"/>
      <c r="E122" s="20"/>
      <c r="F122" s="20"/>
      <c r="G122" s="20"/>
      <c r="H122" s="20"/>
      <c r="I122" s="20"/>
      <c r="J122" s="20"/>
      <c r="K122" s="8"/>
      <c r="L122" s="8"/>
    </row>
    <row r="123" spans="1:12" ht="16.5" thickBot="1">
      <c r="A123" s="57"/>
      <c r="B123" s="57"/>
      <c r="C123" s="57" t="s">
        <v>10</v>
      </c>
      <c r="D123" s="31">
        <f t="shared" ref="D123:I123" si="17">SUM(D118:D121)</f>
        <v>20356.98</v>
      </c>
      <c r="E123" s="31">
        <f t="shared" si="17"/>
        <v>291.99</v>
      </c>
      <c r="F123" s="31">
        <f t="shared" si="17"/>
        <v>156.69999999999999</v>
      </c>
      <c r="G123" s="31">
        <f t="shared" si="17"/>
        <v>0</v>
      </c>
      <c r="H123" s="31">
        <f t="shared" si="17"/>
        <v>0</v>
      </c>
      <c r="I123" s="31">
        <f t="shared" si="17"/>
        <v>0</v>
      </c>
      <c r="J123" s="31">
        <f>SUM(D123:I123)</f>
        <v>20805.670000000002</v>
      </c>
      <c r="K123" s="8"/>
      <c r="L123" s="8"/>
    </row>
    <row r="124" spans="1:12" ht="16.5" thickTop="1">
      <c r="A124" s="57"/>
      <c r="B124" s="57"/>
      <c r="C124" s="57"/>
      <c r="D124" s="20"/>
      <c r="E124" s="20"/>
      <c r="F124" s="20"/>
      <c r="G124" s="20"/>
      <c r="H124" s="20"/>
      <c r="I124" s="20"/>
      <c r="J124" s="20"/>
      <c r="K124" s="8"/>
      <c r="L124" s="8"/>
    </row>
    <row r="125" spans="1:12">
      <c r="A125" s="57"/>
      <c r="B125" s="57"/>
      <c r="C125" s="57"/>
      <c r="D125" s="20"/>
      <c r="E125" s="20"/>
      <c r="F125" s="20"/>
      <c r="G125" s="20"/>
      <c r="H125" s="20"/>
      <c r="I125" s="20"/>
      <c r="J125" s="20"/>
      <c r="K125" s="8"/>
      <c r="L125" s="8"/>
    </row>
    <row r="126" spans="1:12" ht="16.5" thickBot="1">
      <c r="A126" s="57">
        <v>39</v>
      </c>
      <c r="B126" s="57" t="s">
        <v>32</v>
      </c>
      <c r="C126" s="57" t="s">
        <v>12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f>SUM(D126:I126)</f>
        <v>0</v>
      </c>
      <c r="K126" s="8"/>
      <c r="L126" s="8"/>
    </row>
    <row r="127" spans="1:12">
      <c r="A127" s="57"/>
      <c r="B127" s="57"/>
      <c r="C127" s="57"/>
      <c r="D127" s="20"/>
      <c r="E127" s="20"/>
      <c r="F127" s="20"/>
      <c r="G127" s="20"/>
      <c r="H127" s="20"/>
      <c r="I127" s="20"/>
      <c r="J127" s="20"/>
      <c r="K127" s="8"/>
      <c r="L127" s="8"/>
    </row>
    <row r="128" spans="1:12" ht="16.5" thickBot="1">
      <c r="A128" s="57"/>
      <c r="B128" s="57"/>
      <c r="C128" s="57" t="s">
        <v>10</v>
      </c>
      <c r="D128" s="31">
        <f>D126</f>
        <v>0</v>
      </c>
      <c r="E128" s="31">
        <f t="shared" ref="E128:J128" si="18">E126</f>
        <v>0</v>
      </c>
      <c r="F128" s="31">
        <f t="shared" si="18"/>
        <v>0</v>
      </c>
      <c r="G128" s="31">
        <f t="shared" si="18"/>
        <v>0</v>
      </c>
      <c r="H128" s="31">
        <f t="shared" si="18"/>
        <v>0</v>
      </c>
      <c r="I128" s="31">
        <f t="shared" si="18"/>
        <v>0</v>
      </c>
      <c r="J128" s="31">
        <f t="shared" si="18"/>
        <v>0</v>
      </c>
      <c r="K128" s="8"/>
      <c r="L128" s="8"/>
    </row>
    <row r="129" spans="1:12" ht="16.5" thickTop="1">
      <c r="A129" s="57"/>
      <c r="B129" s="57"/>
      <c r="C129" s="57"/>
      <c r="D129" s="20"/>
      <c r="E129" s="20"/>
      <c r="F129" s="20"/>
      <c r="G129" s="20"/>
      <c r="H129" s="20"/>
      <c r="I129" s="20"/>
      <c r="J129" s="20"/>
      <c r="K129" s="8"/>
      <c r="L129" s="8"/>
    </row>
    <row r="130" spans="1:12" ht="16.5" thickBot="1">
      <c r="A130" s="57">
        <v>40</v>
      </c>
      <c r="B130" s="57" t="s">
        <v>33</v>
      </c>
      <c r="C130" s="57" t="s">
        <v>12</v>
      </c>
      <c r="D130" s="29">
        <v>26054.14</v>
      </c>
      <c r="E130" s="29">
        <v>268.47000000000003</v>
      </c>
      <c r="F130" s="29">
        <v>0</v>
      </c>
      <c r="G130" s="29">
        <v>0</v>
      </c>
      <c r="H130" s="29">
        <v>0</v>
      </c>
      <c r="I130" s="29">
        <v>0</v>
      </c>
      <c r="J130" s="29">
        <f>SUM(D130:I130)</f>
        <v>26322.61</v>
      </c>
      <c r="K130" s="8"/>
      <c r="L130" s="8"/>
    </row>
    <row r="131" spans="1:12">
      <c r="A131" s="57"/>
      <c r="B131" s="57"/>
      <c r="C131" s="57"/>
      <c r="D131" s="20"/>
      <c r="E131" s="20"/>
      <c r="F131" s="20"/>
      <c r="G131" s="20"/>
      <c r="H131" s="20"/>
      <c r="I131" s="20"/>
      <c r="J131" s="20"/>
      <c r="K131" s="8"/>
      <c r="L131" s="8"/>
    </row>
    <row r="132" spans="1:12" ht="16.5" thickBot="1">
      <c r="A132" s="57"/>
      <c r="B132" s="57"/>
      <c r="C132" s="57" t="s">
        <v>10</v>
      </c>
      <c r="D132" s="31">
        <f t="shared" ref="D132:I132" si="19">SUM(D130:D131)</f>
        <v>26054.14</v>
      </c>
      <c r="E132" s="31">
        <f t="shared" si="19"/>
        <v>268.47000000000003</v>
      </c>
      <c r="F132" s="31">
        <f t="shared" si="19"/>
        <v>0</v>
      </c>
      <c r="G132" s="31">
        <f t="shared" si="19"/>
        <v>0</v>
      </c>
      <c r="H132" s="31">
        <f t="shared" si="19"/>
        <v>0</v>
      </c>
      <c r="I132" s="31">
        <f t="shared" si="19"/>
        <v>0</v>
      </c>
      <c r="J132" s="31">
        <f>SUM(D132:I132)</f>
        <v>26322.61</v>
      </c>
      <c r="K132" s="8"/>
      <c r="L132" s="8"/>
    </row>
    <row r="133" spans="1:12" ht="16.5" thickTop="1">
      <c r="A133" s="57"/>
      <c r="B133" s="57"/>
      <c r="C133" s="57"/>
      <c r="D133" s="20"/>
      <c r="E133" s="20"/>
      <c r="F133" s="20"/>
      <c r="G133" s="20"/>
      <c r="H133" s="20"/>
      <c r="I133" s="20"/>
      <c r="J133" s="20"/>
      <c r="K133" s="8"/>
      <c r="L133" s="8"/>
    </row>
    <row r="134" spans="1:12">
      <c r="A134" s="57"/>
      <c r="B134" s="57"/>
      <c r="C134" s="57"/>
      <c r="D134" s="20"/>
      <c r="E134" s="20"/>
      <c r="F134" s="20"/>
      <c r="G134" s="20"/>
      <c r="H134" s="20"/>
      <c r="I134" s="20"/>
      <c r="J134" s="20"/>
      <c r="K134" s="8"/>
      <c r="L134" s="8"/>
    </row>
    <row r="135" spans="1:12" ht="16.5" thickBot="1">
      <c r="A135" s="57">
        <v>41</v>
      </c>
      <c r="B135" s="57" t="s">
        <v>34</v>
      </c>
      <c r="C135" s="57" t="s">
        <v>12</v>
      </c>
      <c r="D135" s="29">
        <v>19966.330000000002</v>
      </c>
      <c r="E135" s="29">
        <v>153.27000000000001</v>
      </c>
      <c r="F135" s="29">
        <v>0</v>
      </c>
      <c r="G135" s="29">
        <v>0</v>
      </c>
      <c r="H135" s="29">
        <v>0</v>
      </c>
      <c r="I135" s="29">
        <v>0</v>
      </c>
      <c r="J135" s="29">
        <f>SUM(D135:I135)</f>
        <v>20119.600000000002</v>
      </c>
      <c r="K135" s="8"/>
      <c r="L135" s="8"/>
    </row>
    <row r="136" spans="1:12" hidden="1">
      <c r="A136" s="57"/>
      <c r="B136" s="57"/>
      <c r="C136" s="57" t="s">
        <v>35</v>
      </c>
      <c r="D136" s="20">
        <v>0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f>SUM(D136:I136)</f>
        <v>0</v>
      </c>
      <c r="K136" s="8"/>
      <c r="L136" s="8"/>
    </row>
    <row r="137" spans="1:12" ht="16.5" hidden="1" thickBot="1">
      <c r="A137" s="57"/>
      <c r="B137" s="57"/>
      <c r="C137" s="57" t="s">
        <v>109</v>
      </c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f>SUM(D137:I137)</f>
        <v>0</v>
      </c>
      <c r="K137" s="8"/>
      <c r="L137" s="8"/>
    </row>
    <row r="138" spans="1:12">
      <c r="A138" s="57"/>
      <c r="B138" s="57"/>
      <c r="C138" s="57"/>
      <c r="D138" s="20"/>
      <c r="E138" s="20"/>
      <c r="F138" s="20"/>
      <c r="G138" s="20"/>
      <c r="H138" s="20"/>
      <c r="I138" s="20"/>
      <c r="J138" s="20"/>
      <c r="K138" s="8"/>
      <c r="L138" s="8"/>
    </row>
    <row r="139" spans="1:12" ht="16.5" thickBot="1">
      <c r="A139" s="57"/>
      <c r="B139" s="57"/>
      <c r="C139" s="57" t="s">
        <v>10</v>
      </c>
      <c r="D139" s="31">
        <f t="shared" ref="D139:I139" si="20">SUM(D135:D137)</f>
        <v>19966.330000000002</v>
      </c>
      <c r="E139" s="31">
        <f t="shared" si="20"/>
        <v>153.27000000000001</v>
      </c>
      <c r="F139" s="31">
        <f t="shared" si="20"/>
        <v>0</v>
      </c>
      <c r="G139" s="31">
        <f t="shared" si="20"/>
        <v>0</v>
      </c>
      <c r="H139" s="31">
        <f t="shared" si="20"/>
        <v>0</v>
      </c>
      <c r="I139" s="31">
        <f t="shared" si="20"/>
        <v>0</v>
      </c>
      <c r="J139" s="31">
        <f>SUM(D139:I139)</f>
        <v>20119.600000000002</v>
      </c>
      <c r="K139" s="8"/>
      <c r="L139" s="8"/>
    </row>
    <row r="140" spans="1:12" ht="16.5" thickTop="1">
      <c r="A140" s="57"/>
      <c r="B140" s="57"/>
      <c r="C140" s="57"/>
      <c r="D140" s="20"/>
      <c r="E140" s="20"/>
      <c r="F140" s="20"/>
      <c r="G140" s="20"/>
      <c r="H140" s="20"/>
      <c r="I140" s="20"/>
      <c r="J140" s="20"/>
      <c r="K140" s="8"/>
      <c r="L140" s="8"/>
    </row>
    <row r="141" spans="1:12">
      <c r="A141" s="57"/>
      <c r="B141" s="57"/>
      <c r="C141" s="57"/>
      <c r="D141" s="20"/>
      <c r="E141" s="20"/>
      <c r="F141" s="20"/>
      <c r="G141" s="20"/>
      <c r="H141" s="20"/>
      <c r="I141" s="20"/>
      <c r="J141" s="20"/>
      <c r="K141" s="8"/>
      <c r="L141" s="8"/>
    </row>
    <row r="142" spans="1:12">
      <c r="A142" s="57">
        <v>42</v>
      </c>
      <c r="B142" s="57" t="s">
        <v>36</v>
      </c>
      <c r="C142" s="57" t="s">
        <v>12</v>
      </c>
      <c r="D142" s="39">
        <v>20818.66</v>
      </c>
      <c r="E142" s="20">
        <v>227.89</v>
      </c>
      <c r="F142" s="39">
        <v>0</v>
      </c>
      <c r="G142" s="20">
        <v>0</v>
      </c>
      <c r="H142" s="20">
        <v>0</v>
      </c>
      <c r="I142" s="20">
        <v>0</v>
      </c>
      <c r="J142" s="20">
        <f>SUM(D142:I142)</f>
        <v>21046.55</v>
      </c>
      <c r="K142" s="8"/>
      <c r="L142" s="8"/>
    </row>
    <row r="143" spans="1:12" ht="16.5" thickBot="1">
      <c r="A143" s="57"/>
      <c r="B143" s="57"/>
      <c r="C143" s="57" t="s">
        <v>13</v>
      </c>
      <c r="D143" s="29">
        <v>1664.03</v>
      </c>
      <c r="E143" s="29">
        <v>15.19</v>
      </c>
      <c r="F143" s="29">
        <v>0</v>
      </c>
      <c r="G143" s="29">
        <v>0</v>
      </c>
      <c r="H143" s="29">
        <v>0</v>
      </c>
      <c r="I143" s="29">
        <v>0</v>
      </c>
      <c r="J143" s="29">
        <f>SUM(D143:I143)</f>
        <v>1679.22</v>
      </c>
      <c r="K143" s="8"/>
      <c r="L143" s="8"/>
    </row>
    <row r="144" spans="1:12">
      <c r="A144" s="57"/>
      <c r="B144" s="57"/>
      <c r="C144" s="57"/>
      <c r="D144" s="20"/>
      <c r="E144" s="20"/>
      <c r="F144" s="20"/>
      <c r="G144" s="20"/>
      <c r="H144" s="20"/>
      <c r="I144" s="20"/>
      <c r="J144" s="20"/>
      <c r="K144" s="8"/>
      <c r="L144" s="8"/>
    </row>
    <row r="145" spans="1:12" ht="16.5" thickBot="1">
      <c r="A145" s="57"/>
      <c r="B145" s="57"/>
      <c r="C145" s="57" t="s">
        <v>10</v>
      </c>
      <c r="D145" s="31">
        <f t="shared" ref="D145:I145" si="21">SUM(D142:D143)</f>
        <v>22482.69</v>
      </c>
      <c r="E145" s="31">
        <f t="shared" si="21"/>
        <v>243.07999999999998</v>
      </c>
      <c r="F145" s="31">
        <f t="shared" si="21"/>
        <v>0</v>
      </c>
      <c r="G145" s="31">
        <f t="shared" si="21"/>
        <v>0</v>
      </c>
      <c r="H145" s="31">
        <f t="shared" si="21"/>
        <v>0</v>
      </c>
      <c r="I145" s="31">
        <f t="shared" si="21"/>
        <v>0</v>
      </c>
      <c r="J145" s="31">
        <f>SUM(D145:I145)</f>
        <v>22725.77</v>
      </c>
      <c r="K145" s="8"/>
      <c r="L145" s="8"/>
    </row>
    <row r="146" spans="1:12" ht="16.5" thickTop="1">
      <c r="A146" s="57"/>
      <c r="B146" s="57"/>
      <c r="C146" s="57"/>
      <c r="D146" s="20"/>
      <c r="E146" s="20"/>
      <c r="F146" s="20"/>
      <c r="G146" s="20"/>
      <c r="H146" s="20"/>
      <c r="I146" s="20"/>
      <c r="J146" s="20"/>
      <c r="K146" s="8"/>
      <c r="L146" s="8"/>
    </row>
    <row r="147" spans="1:12">
      <c r="A147" s="57"/>
      <c r="B147" s="57"/>
      <c r="C147" s="57"/>
      <c r="D147" s="20"/>
      <c r="E147" s="20"/>
      <c r="F147" s="20"/>
      <c r="G147" s="20"/>
      <c r="H147" s="20"/>
      <c r="I147" s="20"/>
      <c r="J147" s="20"/>
      <c r="K147" s="8"/>
      <c r="L147" s="8"/>
    </row>
    <row r="148" spans="1:12">
      <c r="A148" s="57">
        <v>43</v>
      </c>
      <c r="B148" s="57" t="s">
        <v>37</v>
      </c>
      <c r="C148" s="57" t="s">
        <v>12</v>
      </c>
      <c r="D148" s="20">
        <v>32883.03</v>
      </c>
      <c r="E148" s="20">
        <v>8.1300000000000008</v>
      </c>
      <c r="F148" s="20">
        <v>0</v>
      </c>
      <c r="G148" s="20">
        <v>0</v>
      </c>
      <c r="H148" s="20">
        <v>0</v>
      </c>
      <c r="I148" s="20">
        <v>0</v>
      </c>
      <c r="J148" s="20">
        <f>SUM(D148:I148)</f>
        <v>32891.159999999996</v>
      </c>
      <c r="K148" s="8"/>
      <c r="L148" s="8"/>
    </row>
    <row r="149" spans="1:12" hidden="1">
      <c r="A149" s="57"/>
      <c r="B149" s="57"/>
      <c r="C149" s="57" t="s">
        <v>35</v>
      </c>
      <c r="D149" s="20"/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f>SUM(D149:I149)</f>
        <v>0</v>
      </c>
      <c r="K149" s="8"/>
      <c r="L149" s="8"/>
    </row>
    <row r="150" spans="1:12" ht="16.5" thickBot="1">
      <c r="A150" s="57"/>
      <c r="B150" s="57"/>
      <c r="C150" s="57" t="s">
        <v>13</v>
      </c>
      <c r="D150" s="29">
        <v>785.54</v>
      </c>
      <c r="E150" s="29">
        <v>0.23</v>
      </c>
      <c r="F150" s="50">
        <v>0</v>
      </c>
      <c r="G150" s="29">
        <v>0</v>
      </c>
      <c r="H150" s="29">
        <v>0</v>
      </c>
      <c r="I150" s="29">
        <v>0</v>
      </c>
      <c r="J150" s="29">
        <f>SUM(D150:I150)</f>
        <v>785.77</v>
      </c>
      <c r="K150" s="8"/>
      <c r="L150" s="8"/>
    </row>
    <row r="151" spans="1:12" ht="16.5" hidden="1" thickBot="1">
      <c r="A151" s="57"/>
      <c r="B151" s="57"/>
      <c r="C151" s="57" t="s">
        <v>78</v>
      </c>
      <c r="D151" s="29">
        <v>0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f>SUM(D151:I151)</f>
        <v>0</v>
      </c>
      <c r="K151" s="8"/>
      <c r="L151" s="8"/>
    </row>
    <row r="152" spans="1:12">
      <c r="A152" s="57"/>
      <c r="B152" s="57"/>
      <c r="C152" s="57"/>
      <c r="D152" s="20"/>
      <c r="E152" s="20"/>
      <c r="F152" s="20"/>
      <c r="G152" s="20"/>
      <c r="H152" s="20"/>
      <c r="I152" s="20"/>
      <c r="J152" s="20"/>
      <c r="K152" s="8"/>
      <c r="L152" s="8"/>
    </row>
    <row r="153" spans="1:12" ht="16.5" thickBot="1">
      <c r="A153" s="57"/>
      <c r="B153" s="57"/>
      <c r="C153" s="57" t="s">
        <v>10</v>
      </c>
      <c r="D153" s="31">
        <f t="shared" ref="D153:I153" si="22">SUM(D148:D151)</f>
        <v>33668.57</v>
      </c>
      <c r="E153" s="31">
        <f>SUM(E148:E152)</f>
        <v>8.3600000000000012</v>
      </c>
      <c r="F153" s="31">
        <f t="shared" si="22"/>
        <v>0</v>
      </c>
      <c r="G153" s="31">
        <f t="shared" si="22"/>
        <v>0</v>
      </c>
      <c r="H153" s="31">
        <f t="shared" si="22"/>
        <v>0</v>
      </c>
      <c r="I153" s="31">
        <f t="shared" si="22"/>
        <v>0</v>
      </c>
      <c r="J153" s="31">
        <f>SUM(D153:I153)</f>
        <v>33676.93</v>
      </c>
      <c r="K153" s="8"/>
      <c r="L153" s="8"/>
    </row>
    <row r="154" spans="1:12" ht="16.5" thickTop="1">
      <c r="A154" s="57"/>
      <c r="B154" s="57"/>
      <c r="C154" s="57"/>
      <c r="D154" s="20"/>
      <c r="E154" s="20"/>
      <c r="F154" s="20"/>
      <c r="G154" s="20"/>
      <c r="H154" s="20"/>
      <c r="I154" s="20"/>
      <c r="J154" s="20"/>
      <c r="K154" s="8"/>
      <c r="L154" s="8"/>
    </row>
    <row r="155" spans="1:12">
      <c r="A155" s="57"/>
      <c r="B155" s="57"/>
      <c r="C155" s="57"/>
      <c r="D155" s="20"/>
      <c r="E155" s="20"/>
      <c r="F155" s="20"/>
      <c r="G155" s="20"/>
      <c r="H155" s="20"/>
      <c r="I155" s="20"/>
      <c r="J155" s="20"/>
      <c r="K155" s="8"/>
      <c r="L155" s="8"/>
    </row>
    <row r="156" spans="1:12" ht="16.5" thickBot="1">
      <c r="A156" s="57">
        <v>44</v>
      </c>
      <c r="B156" s="57" t="s">
        <v>38</v>
      </c>
      <c r="C156" s="57" t="s">
        <v>12</v>
      </c>
      <c r="D156" s="29">
        <v>21672.57</v>
      </c>
      <c r="E156" s="29">
        <v>477.59</v>
      </c>
      <c r="F156" s="29">
        <v>45.6</v>
      </c>
      <c r="G156" s="29">
        <v>0</v>
      </c>
      <c r="H156" s="29">
        <v>0</v>
      </c>
      <c r="I156" s="29">
        <v>0</v>
      </c>
      <c r="J156" s="29">
        <f>SUM(D156:I156)</f>
        <v>22195.759999999998</v>
      </c>
      <c r="K156" s="8"/>
      <c r="L156" s="8"/>
    </row>
    <row r="157" spans="1:12">
      <c r="A157" s="57"/>
      <c r="B157" s="57"/>
      <c r="C157" s="57"/>
      <c r="D157" s="20"/>
      <c r="E157" s="20"/>
      <c r="F157" s="20"/>
      <c r="G157" s="20"/>
      <c r="H157" s="20"/>
      <c r="I157" s="20"/>
      <c r="J157" s="20"/>
      <c r="K157" s="8"/>
      <c r="L157" s="8"/>
    </row>
    <row r="158" spans="1:12" ht="16.5" thickBot="1">
      <c r="A158" s="57"/>
      <c r="B158" s="57"/>
      <c r="C158" s="57" t="s">
        <v>10</v>
      </c>
      <c r="D158" s="31">
        <f t="shared" ref="D158:I158" si="23">SUM(D156:D157)</f>
        <v>21672.57</v>
      </c>
      <c r="E158" s="31">
        <f t="shared" si="23"/>
        <v>477.59</v>
      </c>
      <c r="F158" s="31">
        <f t="shared" si="23"/>
        <v>45.6</v>
      </c>
      <c r="G158" s="31">
        <f t="shared" si="23"/>
        <v>0</v>
      </c>
      <c r="H158" s="31">
        <f t="shared" si="23"/>
        <v>0</v>
      </c>
      <c r="I158" s="31">
        <f t="shared" si="23"/>
        <v>0</v>
      </c>
      <c r="J158" s="31">
        <f>SUM(D158:I158)</f>
        <v>22195.759999999998</v>
      </c>
      <c r="K158" s="8"/>
      <c r="L158" s="8"/>
    </row>
    <row r="159" spans="1:12" ht="16.5" thickTop="1">
      <c r="A159" s="57"/>
      <c r="B159" s="57"/>
      <c r="C159" s="57"/>
      <c r="D159" s="20"/>
      <c r="E159" s="20"/>
      <c r="F159" s="20"/>
      <c r="G159" s="20" t="s">
        <v>70</v>
      </c>
      <c r="H159" s="20" t="s">
        <v>70</v>
      </c>
      <c r="I159" s="20" t="s">
        <v>70</v>
      </c>
      <c r="J159" s="20"/>
      <c r="K159" s="8"/>
      <c r="L159" s="8"/>
    </row>
    <row r="160" spans="1:12">
      <c r="A160" s="57"/>
      <c r="B160" s="57"/>
      <c r="C160" s="57"/>
      <c r="D160" s="20"/>
      <c r="E160" s="20"/>
      <c r="F160" s="20"/>
      <c r="G160" s="20"/>
      <c r="H160" s="20"/>
      <c r="I160" s="20"/>
      <c r="J160" s="20"/>
      <c r="K160" s="8"/>
      <c r="L160" s="8"/>
    </row>
    <row r="161" spans="1:12">
      <c r="A161" s="57">
        <v>45</v>
      </c>
      <c r="B161" s="57" t="s">
        <v>39</v>
      </c>
      <c r="C161" s="57" t="s">
        <v>12</v>
      </c>
      <c r="D161" s="20">
        <v>11954.07</v>
      </c>
      <c r="E161" s="20">
        <v>886.75</v>
      </c>
      <c r="F161" s="20">
        <v>0</v>
      </c>
      <c r="G161" s="20">
        <v>0</v>
      </c>
      <c r="H161" s="20">
        <v>0</v>
      </c>
      <c r="I161" s="20">
        <v>0</v>
      </c>
      <c r="J161" s="20">
        <f>SUM(D161:I161)</f>
        <v>12840.82</v>
      </c>
      <c r="K161" s="8"/>
      <c r="L161" s="8"/>
    </row>
    <row r="162" spans="1:12" ht="16.5" thickBot="1">
      <c r="A162" s="57"/>
      <c r="B162" s="57"/>
      <c r="C162" s="57" t="s">
        <v>116</v>
      </c>
      <c r="D162" s="29">
        <v>6656.14</v>
      </c>
      <c r="E162" s="29">
        <v>438.44</v>
      </c>
      <c r="F162" s="29">
        <v>0</v>
      </c>
      <c r="G162" s="29">
        <v>0</v>
      </c>
      <c r="H162" s="29">
        <v>0</v>
      </c>
      <c r="I162" s="29">
        <v>0</v>
      </c>
      <c r="J162" s="29">
        <f>SUM(D162:I162)</f>
        <v>7094.58</v>
      </c>
      <c r="K162" s="8"/>
      <c r="L162" s="8"/>
    </row>
    <row r="163" spans="1:12">
      <c r="A163" s="57"/>
      <c r="B163" s="57"/>
      <c r="C163" s="57"/>
      <c r="D163" s="20"/>
      <c r="E163" s="20"/>
      <c r="F163" s="20"/>
      <c r="G163" s="20"/>
      <c r="H163" s="20"/>
      <c r="I163" s="20"/>
      <c r="J163" s="20"/>
      <c r="K163" s="8"/>
      <c r="L163" s="8"/>
    </row>
    <row r="164" spans="1:12" ht="16.5" thickBot="1">
      <c r="A164" s="57"/>
      <c r="B164" s="57"/>
      <c r="C164" s="57" t="s">
        <v>10</v>
      </c>
      <c r="D164" s="31">
        <f t="shared" ref="D164:I164" si="24">SUM(D161:D163)</f>
        <v>18610.21</v>
      </c>
      <c r="E164" s="31">
        <f t="shared" si="24"/>
        <v>1325.19</v>
      </c>
      <c r="F164" s="31">
        <f t="shared" si="24"/>
        <v>0</v>
      </c>
      <c r="G164" s="31">
        <f t="shared" si="24"/>
        <v>0</v>
      </c>
      <c r="H164" s="31">
        <f t="shared" si="24"/>
        <v>0</v>
      </c>
      <c r="I164" s="31">
        <f t="shared" si="24"/>
        <v>0</v>
      </c>
      <c r="J164" s="31">
        <f>SUM(D164:I164)</f>
        <v>19935.399999999998</v>
      </c>
      <c r="K164" s="8"/>
      <c r="L164" s="8"/>
    </row>
    <row r="165" spans="1:12" ht="16.5" thickTop="1">
      <c r="A165" s="57"/>
      <c r="B165" s="57"/>
      <c r="C165" s="57"/>
      <c r="D165" s="20"/>
      <c r="E165" s="20"/>
      <c r="F165" s="20"/>
      <c r="G165" s="20"/>
      <c r="H165" s="20"/>
      <c r="I165" s="20"/>
      <c r="J165" s="20"/>
      <c r="K165" s="8"/>
      <c r="L165" s="8"/>
    </row>
    <row r="166" spans="1:12">
      <c r="A166" s="57"/>
      <c r="B166" s="57"/>
      <c r="C166" s="57"/>
      <c r="D166" s="20"/>
      <c r="E166" s="20"/>
      <c r="F166" s="20"/>
      <c r="G166" s="20"/>
      <c r="H166" s="20"/>
      <c r="I166" s="20"/>
      <c r="J166" s="20"/>
      <c r="K166" s="8"/>
      <c r="L166" s="8"/>
    </row>
    <row r="167" spans="1:12" ht="16.5" thickBot="1">
      <c r="A167" s="57">
        <v>46</v>
      </c>
      <c r="B167" s="57" t="s">
        <v>40</v>
      </c>
      <c r="C167" s="57" t="s">
        <v>12</v>
      </c>
      <c r="D167" s="29">
        <v>13561.7</v>
      </c>
      <c r="E167" s="29">
        <v>87.27</v>
      </c>
      <c r="F167" s="29">
        <v>0</v>
      </c>
      <c r="G167" s="29">
        <v>0</v>
      </c>
      <c r="H167" s="29">
        <v>0</v>
      </c>
      <c r="I167" s="29">
        <v>0</v>
      </c>
      <c r="J167" s="29">
        <f>SUM(D167:I167)</f>
        <v>13648.970000000001</v>
      </c>
      <c r="K167" s="8"/>
      <c r="L167" s="8"/>
    </row>
    <row r="168" spans="1:12">
      <c r="A168" s="57"/>
      <c r="B168" s="57"/>
      <c r="C168" s="57"/>
      <c r="D168" s="20"/>
      <c r="E168" s="20"/>
      <c r="F168" s="20"/>
      <c r="G168" s="20"/>
      <c r="H168" s="20"/>
      <c r="I168" s="20"/>
      <c r="J168" s="20"/>
      <c r="K168" s="8"/>
      <c r="L168" s="8"/>
    </row>
    <row r="169" spans="1:12" ht="16.5" thickBot="1">
      <c r="A169" s="57"/>
      <c r="B169" s="57"/>
      <c r="C169" s="57" t="s">
        <v>10</v>
      </c>
      <c r="D169" s="31">
        <f t="shared" ref="D169:I169" si="25">SUM(D167:D168)</f>
        <v>13561.7</v>
      </c>
      <c r="E169" s="31">
        <f t="shared" si="25"/>
        <v>87.27</v>
      </c>
      <c r="F169" s="31">
        <f t="shared" si="25"/>
        <v>0</v>
      </c>
      <c r="G169" s="31">
        <f t="shared" si="25"/>
        <v>0</v>
      </c>
      <c r="H169" s="31">
        <f t="shared" si="25"/>
        <v>0</v>
      </c>
      <c r="I169" s="31">
        <f t="shared" si="25"/>
        <v>0</v>
      </c>
      <c r="J169" s="31">
        <f>SUM(D169:I169)</f>
        <v>13648.970000000001</v>
      </c>
      <c r="K169" s="8"/>
      <c r="L169" s="8"/>
    </row>
    <row r="170" spans="1:12" ht="16.5" thickTop="1">
      <c r="A170" s="57"/>
      <c r="B170" s="57"/>
      <c r="C170" s="57"/>
      <c r="D170" s="20"/>
      <c r="E170" s="20"/>
      <c r="F170" s="20"/>
      <c r="G170" s="20"/>
      <c r="H170" s="20"/>
      <c r="I170" s="20"/>
      <c r="J170" s="20"/>
      <c r="K170" s="8"/>
      <c r="L170" s="8"/>
    </row>
    <row r="171" spans="1:12">
      <c r="A171" s="57"/>
      <c r="B171" s="57"/>
      <c r="C171" s="57"/>
      <c r="D171" s="20"/>
      <c r="E171" s="20"/>
      <c r="F171" s="20"/>
      <c r="G171" s="20"/>
      <c r="H171" s="20"/>
      <c r="I171" s="20"/>
      <c r="J171" s="20"/>
      <c r="K171" s="8"/>
      <c r="L171" s="8"/>
    </row>
    <row r="172" spans="1:12" ht="16.5" thickBot="1">
      <c r="A172" s="57">
        <v>47</v>
      </c>
      <c r="B172" s="57" t="s">
        <v>41</v>
      </c>
      <c r="C172" s="57" t="s">
        <v>12</v>
      </c>
      <c r="D172" s="29">
        <v>18495.59</v>
      </c>
      <c r="E172" s="29">
        <v>210.55</v>
      </c>
      <c r="F172" s="29">
        <v>0</v>
      </c>
      <c r="G172" s="29">
        <v>0</v>
      </c>
      <c r="H172" s="29">
        <v>0</v>
      </c>
      <c r="I172" s="29">
        <v>0</v>
      </c>
      <c r="J172" s="29">
        <f>SUM(D172:I172)</f>
        <v>18706.14</v>
      </c>
      <c r="K172" s="8"/>
      <c r="L172" s="8"/>
    </row>
    <row r="173" spans="1:12">
      <c r="A173" s="57"/>
      <c r="B173" s="57"/>
      <c r="C173" s="57"/>
      <c r="D173" s="20"/>
      <c r="E173" s="20"/>
      <c r="F173" s="20"/>
      <c r="G173" s="20"/>
      <c r="H173" s="20"/>
      <c r="I173" s="20"/>
      <c r="J173" s="20"/>
      <c r="K173" s="8"/>
      <c r="L173" s="8"/>
    </row>
    <row r="174" spans="1:12" ht="16.5" thickBot="1">
      <c r="A174" s="57"/>
      <c r="B174" s="57"/>
      <c r="C174" s="57" t="s">
        <v>10</v>
      </c>
      <c r="D174" s="31">
        <f t="shared" ref="D174:I174" si="26">SUM(D172:D173)</f>
        <v>18495.59</v>
      </c>
      <c r="E174" s="31">
        <f t="shared" si="26"/>
        <v>210.55</v>
      </c>
      <c r="F174" s="31">
        <f t="shared" si="26"/>
        <v>0</v>
      </c>
      <c r="G174" s="31">
        <f t="shared" si="26"/>
        <v>0</v>
      </c>
      <c r="H174" s="31">
        <f t="shared" si="26"/>
        <v>0</v>
      </c>
      <c r="I174" s="31">
        <f t="shared" si="26"/>
        <v>0</v>
      </c>
      <c r="J174" s="31">
        <f>SUM(D174:I174)</f>
        <v>18706.14</v>
      </c>
      <c r="K174" s="8"/>
      <c r="L174" s="8"/>
    </row>
    <row r="175" spans="1:12" ht="16.5" thickTop="1">
      <c r="A175" s="57"/>
      <c r="B175" s="57"/>
      <c r="C175" s="57"/>
      <c r="D175" s="20"/>
      <c r="E175" s="20"/>
      <c r="F175" s="20"/>
      <c r="G175" s="20"/>
      <c r="H175" s="20"/>
      <c r="I175" s="20"/>
      <c r="J175" s="20"/>
      <c r="K175" s="8"/>
      <c r="L175" s="8"/>
    </row>
    <row r="176" spans="1:12">
      <c r="A176" s="57"/>
      <c r="B176" s="57"/>
      <c r="C176" s="57"/>
      <c r="D176" s="20"/>
      <c r="E176" s="20"/>
      <c r="F176" s="20"/>
      <c r="G176" s="20"/>
      <c r="H176" s="20"/>
      <c r="I176" s="20"/>
      <c r="J176" s="20"/>
      <c r="K176" s="8"/>
      <c r="L176" s="8"/>
    </row>
    <row r="177" spans="1:12" ht="16.5" thickBot="1">
      <c r="A177" s="57">
        <v>48</v>
      </c>
      <c r="B177" s="57" t="s">
        <v>42</v>
      </c>
      <c r="C177" s="57" t="s">
        <v>12</v>
      </c>
      <c r="D177" s="29">
        <v>18608.48</v>
      </c>
      <c r="E177" s="29">
        <v>481.42</v>
      </c>
      <c r="F177" s="29">
        <v>0</v>
      </c>
      <c r="G177" s="29">
        <v>0</v>
      </c>
      <c r="H177" s="29">
        <v>0</v>
      </c>
      <c r="I177" s="29">
        <v>0</v>
      </c>
      <c r="J177" s="29">
        <f>SUM(D177:I177)</f>
        <v>19089.899999999998</v>
      </c>
      <c r="K177" s="8"/>
      <c r="L177" s="8"/>
    </row>
    <row r="178" spans="1:12">
      <c r="A178" s="57"/>
      <c r="B178" s="57"/>
      <c r="C178" s="57"/>
      <c r="D178" s="20"/>
      <c r="E178" s="20"/>
      <c r="F178" s="20"/>
      <c r="G178" s="20"/>
      <c r="H178" s="20"/>
      <c r="I178" s="20"/>
      <c r="J178" s="20"/>
      <c r="K178" s="8"/>
      <c r="L178" s="8"/>
    </row>
    <row r="179" spans="1:12" ht="16.5" thickBot="1">
      <c r="A179" s="57"/>
      <c r="B179" s="57"/>
      <c r="C179" s="57"/>
      <c r="D179" s="31">
        <f t="shared" ref="D179:I179" si="27">SUM(D177:D178)</f>
        <v>18608.48</v>
      </c>
      <c r="E179" s="31">
        <f t="shared" si="27"/>
        <v>481.42</v>
      </c>
      <c r="F179" s="31">
        <f t="shared" si="27"/>
        <v>0</v>
      </c>
      <c r="G179" s="31">
        <f t="shared" si="27"/>
        <v>0</v>
      </c>
      <c r="H179" s="31">
        <f t="shared" si="27"/>
        <v>0</v>
      </c>
      <c r="I179" s="31">
        <f t="shared" si="27"/>
        <v>0</v>
      </c>
      <c r="J179" s="31">
        <f>SUM(D179:I179)</f>
        <v>19089.899999999998</v>
      </c>
      <c r="K179" s="8"/>
      <c r="L179" s="8"/>
    </row>
    <row r="180" spans="1:12" ht="16.5" thickTop="1">
      <c r="A180" s="57"/>
      <c r="B180" s="57"/>
      <c r="C180" s="57"/>
      <c r="D180" s="20"/>
      <c r="E180" s="20"/>
      <c r="F180" s="20"/>
      <c r="G180" s="20"/>
      <c r="H180" s="20"/>
      <c r="I180" s="20"/>
      <c r="J180" s="20"/>
      <c r="K180" s="8"/>
      <c r="L180" s="8"/>
    </row>
    <row r="181" spans="1:12">
      <c r="A181" s="57"/>
      <c r="B181" s="57"/>
      <c r="C181" s="57"/>
      <c r="D181" s="20"/>
      <c r="E181" s="20"/>
      <c r="F181" s="20"/>
      <c r="G181" s="20"/>
      <c r="H181" s="20"/>
      <c r="I181" s="20"/>
      <c r="J181" s="20"/>
      <c r="K181" s="8"/>
      <c r="L181" s="8"/>
    </row>
    <row r="182" spans="1:12" ht="16.5" thickBot="1">
      <c r="A182" s="57">
        <v>49</v>
      </c>
      <c r="B182" s="57" t="s">
        <v>43</v>
      </c>
      <c r="C182" s="57" t="s">
        <v>12</v>
      </c>
      <c r="D182" s="29">
        <v>26111.56</v>
      </c>
      <c r="E182" s="29">
        <v>387.75</v>
      </c>
      <c r="F182" s="29">
        <v>111.7</v>
      </c>
      <c r="G182" s="29">
        <v>0</v>
      </c>
      <c r="H182" s="29">
        <v>0</v>
      </c>
      <c r="I182" s="29">
        <v>0</v>
      </c>
      <c r="J182" s="29">
        <f>SUM(D182:I182)</f>
        <v>26611.010000000002</v>
      </c>
      <c r="K182" s="8"/>
      <c r="L182" s="8"/>
    </row>
    <row r="183" spans="1:12">
      <c r="A183" s="57"/>
      <c r="B183" s="57"/>
      <c r="C183" s="57"/>
      <c r="D183" s="20"/>
      <c r="E183" s="20"/>
      <c r="F183" s="20"/>
      <c r="G183" s="20"/>
      <c r="H183" s="20"/>
      <c r="I183" s="20"/>
      <c r="J183" s="20"/>
      <c r="K183" s="8"/>
      <c r="L183" s="8"/>
    </row>
    <row r="184" spans="1:12" ht="16.5" thickBot="1">
      <c r="A184" s="57"/>
      <c r="B184" s="57"/>
      <c r="C184" s="57" t="s">
        <v>10</v>
      </c>
      <c r="D184" s="31">
        <f t="shared" ref="D184:I184" si="28">SUM(D182:D183)</f>
        <v>26111.56</v>
      </c>
      <c r="E184" s="31">
        <f t="shared" si="28"/>
        <v>387.75</v>
      </c>
      <c r="F184" s="31">
        <f t="shared" si="28"/>
        <v>111.7</v>
      </c>
      <c r="G184" s="31">
        <f t="shared" si="28"/>
        <v>0</v>
      </c>
      <c r="H184" s="31">
        <f t="shared" si="28"/>
        <v>0</v>
      </c>
      <c r="I184" s="31">
        <f t="shared" si="28"/>
        <v>0</v>
      </c>
      <c r="J184" s="31">
        <f>SUM(D184:I184)</f>
        <v>26611.010000000002</v>
      </c>
      <c r="K184" s="8"/>
      <c r="L184" s="8"/>
    </row>
    <row r="185" spans="1:12" ht="16.5" thickTop="1">
      <c r="A185" s="57"/>
      <c r="B185" s="57"/>
      <c r="C185" s="57"/>
      <c r="D185" s="20"/>
      <c r="E185" s="20"/>
      <c r="F185" s="20"/>
      <c r="G185" s="20"/>
      <c r="H185" s="20"/>
      <c r="I185" s="20"/>
      <c r="J185" s="20"/>
      <c r="K185" s="8"/>
      <c r="L185" s="8"/>
    </row>
    <row r="186" spans="1:12">
      <c r="A186" s="57"/>
      <c r="B186" s="57"/>
      <c r="C186" s="57"/>
      <c r="D186" s="20"/>
      <c r="E186" s="20"/>
      <c r="F186" s="20"/>
      <c r="G186" s="20"/>
      <c r="H186" s="20"/>
      <c r="I186" s="20"/>
      <c r="J186" s="20"/>
      <c r="K186" s="8"/>
      <c r="L186" s="8"/>
    </row>
    <row r="187" spans="1:12">
      <c r="A187" s="57">
        <v>50</v>
      </c>
      <c r="B187" s="57" t="s">
        <v>44</v>
      </c>
      <c r="C187" s="57" t="s">
        <v>12</v>
      </c>
      <c r="D187" s="20">
        <v>6669.95</v>
      </c>
      <c r="E187" s="20">
        <v>93.79</v>
      </c>
      <c r="F187" s="20">
        <v>0</v>
      </c>
      <c r="G187" s="20">
        <v>0</v>
      </c>
      <c r="H187" s="20">
        <v>0</v>
      </c>
      <c r="I187" s="20">
        <v>0</v>
      </c>
      <c r="J187" s="20">
        <f>SUM(D187:I187)</f>
        <v>6763.74</v>
      </c>
      <c r="K187" s="8"/>
      <c r="L187" s="8"/>
    </row>
    <row r="188" spans="1:12" ht="16.5" thickBot="1">
      <c r="A188" s="57"/>
      <c r="B188" s="57"/>
      <c r="C188" s="57" t="s">
        <v>13</v>
      </c>
      <c r="D188" s="29">
        <v>104.8</v>
      </c>
      <c r="E188" s="29">
        <v>0.41</v>
      </c>
      <c r="F188" s="29">
        <v>0</v>
      </c>
      <c r="G188" s="29">
        <v>0</v>
      </c>
      <c r="H188" s="29">
        <v>0</v>
      </c>
      <c r="I188" s="29">
        <v>0</v>
      </c>
      <c r="J188" s="29">
        <f>SUM(D188:I188)</f>
        <v>105.21</v>
      </c>
      <c r="K188" s="8"/>
      <c r="L188" s="8"/>
    </row>
    <row r="189" spans="1:12">
      <c r="A189" s="57"/>
      <c r="B189" s="57"/>
      <c r="C189" s="57"/>
      <c r="D189" s="20"/>
      <c r="E189" s="20"/>
      <c r="F189" s="20"/>
      <c r="G189" s="20"/>
      <c r="H189" s="20"/>
      <c r="I189" s="20"/>
      <c r="J189" s="20"/>
      <c r="K189" s="8"/>
      <c r="L189" s="8"/>
    </row>
    <row r="190" spans="1:12" ht="16.5" thickBot="1">
      <c r="A190" s="57"/>
      <c r="B190" s="57"/>
      <c r="C190" s="57" t="s">
        <v>10</v>
      </c>
      <c r="D190" s="31">
        <f t="shared" ref="D190:I190" si="29">SUM(D187:D188)</f>
        <v>6774.75</v>
      </c>
      <c r="E190" s="31">
        <f t="shared" si="29"/>
        <v>94.2</v>
      </c>
      <c r="F190" s="31">
        <f t="shared" si="29"/>
        <v>0</v>
      </c>
      <c r="G190" s="31">
        <f t="shared" si="29"/>
        <v>0</v>
      </c>
      <c r="H190" s="31">
        <f t="shared" si="29"/>
        <v>0</v>
      </c>
      <c r="I190" s="31">
        <f t="shared" si="29"/>
        <v>0</v>
      </c>
      <c r="J190" s="31">
        <f>SUM(D190:I190)</f>
        <v>6868.95</v>
      </c>
      <c r="K190" s="8"/>
      <c r="L190" s="8"/>
    </row>
    <row r="191" spans="1:12" ht="16.5" thickTop="1">
      <c r="A191" s="57"/>
      <c r="B191" s="57"/>
      <c r="C191" s="57"/>
      <c r="D191" s="20"/>
      <c r="E191" s="20"/>
      <c r="F191" s="20"/>
      <c r="G191" s="20"/>
      <c r="H191" s="20"/>
      <c r="I191" s="20"/>
      <c r="J191" s="20"/>
      <c r="K191" s="8"/>
      <c r="L191" s="8"/>
    </row>
    <row r="192" spans="1:12">
      <c r="A192" s="57"/>
      <c r="B192" s="57"/>
      <c r="C192" s="57"/>
      <c r="D192" s="20"/>
      <c r="E192" s="20"/>
      <c r="F192" s="20"/>
      <c r="G192" s="20"/>
      <c r="H192" s="20"/>
      <c r="I192" s="20"/>
      <c r="J192" s="20"/>
      <c r="K192" s="8"/>
      <c r="L192" s="8"/>
    </row>
    <row r="193" spans="1:12" ht="16.5" thickBot="1">
      <c r="A193" s="57">
        <v>51</v>
      </c>
      <c r="B193" s="57" t="s">
        <v>45</v>
      </c>
      <c r="C193" s="57" t="s">
        <v>12</v>
      </c>
      <c r="D193" s="29">
        <v>13412.4</v>
      </c>
      <c r="E193" s="29">
        <v>7.05</v>
      </c>
      <c r="F193" s="29">
        <v>0</v>
      </c>
      <c r="G193" s="29">
        <v>0</v>
      </c>
      <c r="H193" s="29">
        <v>0</v>
      </c>
      <c r="I193" s="29">
        <v>0</v>
      </c>
      <c r="J193" s="29">
        <f>SUM(D193:I193)</f>
        <v>13419.449999999999</v>
      </c>
      <c r="K193" s="8"/>
      <c r="L193" s="8"/>
    </row>
    <row r="194" spans="1:12" hidden="1">
      <c r="A194" s="57"/>
      <c r="B194" s="57"/>
      <c r="C194" s="57" t="s">
        <v>13</v>
      </c>
      <c r="D194" s="20"/>
      <c r="E194" s="20"/>
      <c r="F194" s="20"/>
      <c r="G194" s="20"/>
      <c r="H194" s="20"/>
      <c r="I194" s="20"/>
      <c r="J194" s="20">
        <f>SUM(D194:I194)</f>
        <v>0</v>
      </c>
      <c r="K194" s="8"/>
      <c r="L194" s="8"/>
    </row>
    <row r="195" spans="1:12" ht="16.5" hidden="1" thickBot="1">
      <c r="A195" s="57"/>
      <c r="B195" s="57"/>
      <c r="C195" s="57" t="s">
        <v>46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f>SUM(D195:I195)</f>
        <v>0</v>
      </c>
      <c r="K195" s="8"/>
      <c r="L195" s="8"/>
    </row>
    <row r="196" spans="1:12">
      <c r="A196" s="57"/>
      <c r="B196" s="57"/>
      <c r="C196" s="57"/>
      <c r="D196" s="20"/>
      <c r="E196" s="20"/>
      <c r="F196" s="20"/>
      <c r="G196" s="20"/>
      <c r="H196" s="20"/>
      <c r="I196" s="20"/>
      <c r="J196" s="20"/>
      <c r="K196" s="8"/>
      <c r="L196" s="8"/>
    </row>
    <row r="197" spans="1:12" ht="16.5" thickBot="1">
      <c r="A197" s="57"/>
      <c r="B197" s="57"/>
      <c r="C197" s="57" t="s">
        <v>10</v>
      </c>
      <c r="D197" s="31">
        <f t="shared" ref="D197:I197" si="30">SUM(D193:D195)</f>
        <v>13412.4</v>
      </c>
      <c r="E197" s="31">
        <f t="shared" si="30"/>
        <v>7.05</v>
      </c>
      <c r="F197" s="31">
        <f t="shared" si="30"/>
        <v>0</v>
      </c>
      <c r="G197" s="31">
        <f t="shared" si="30"/>
        <v>0</v>
      </c>
      <c r="H197" s="31">
        <f t="shared" si="30"/>
        <v>0</v>
      </c>
      <c r="I197" s="31">
        <f t="shared" si="30"/>
        <v>0</v>
      </c>
      <c r="J197" s="31">
        <f>SUM(D197:I197)</f>
        <v>13419.449999999999</v>
      </c>
      <c r="K197" s="8"/>
      <c r="L197" s="8"/>
    </row>
    <row r="198" spans="1:12" ht="16.5" thickTop="1">
      <c r="A198" s="57"/>
      <c r="B198" s="57"/>
      <c r="C198" s="57"/>
      <c r="D198" s="20"/>
      <c r="E198" s="20"/>
      <c r="F198" s="20"/>
      <c r="G198" s="20"/>
      <c r="H198" s="20"/>
      <c r="I198" s="20"/>
      <c r="J198" s="20"/>
      <c r="K198" s="8"/>
      <c r="L198" s="8"/>
    </row>
    <row r="199" spans="1:12">
      <c r="A199" s="57"/>
      <c r="B199" s="57"/>
      <c r="C199" s="57"/>
      <c r="D199" s="20"/>
      <c r="E199" s="20"/>
      <c r="F199" s="20"/>
      <c r="G199" s="20"/>
      <c r="H199" s="20"/>
      <c r="I199" s="20"/>
      <c r="J199" s="20"/>
      <c r="K199" s="8"/>
      <c r="L199" s="8"/>
    </row>
    <row r="200" spans="1:12">
      <c r="A200" s="57">
        <v>52</v>
      </c>
      <c r="B200" s="57" t="s">
        <v>47</v>
      </c>
      <c r="C200" s="57" t="s">
        <v>12</v>
      </c>
      <c r="D200" s="25">
        <v>19633.66</v>
      </c>
      <c r="E200" s="25">
        <v>370.81</v>
      </c>
      <c r="F200" s="25">
        <v>0</v>
      </c>
      <c r="G200" s="25">
        <v>0</v>
      </c>
      <c r="H200" s="25">
        <v>0</v>
      </c>
      <c r="I200" s="25">
        <v>0</v>
      </c>
      <c r="J200" s="25">
        <f>SUM(D200:I200)</f>
        <v>20004.47</v>
      </c>
      <c r="K200" s="8"/>
      <c r="L200" s="8"/>
    </row>
    <row r="201" spans="1:12" ht="16.5" hidden="1" thickBot="1">
      <c r="A201" s="57"/>
      <c r="B201" s="57"/>
      <c r="C201" s="57" t="s">
        <v>13</v>
      </c>
      <c r="D201" s="29"/>
      <c r="E201" s="29"/>
      <c r="F201" s="29"/>
      <c r="G201" s="29"/>
      <c r="H201" s="29"/>
      <c r="I201" s="29"/>
      <c r="J201" s="29">
        <v>0</v>
      </c>
      <c r="K201" s="8"/>
      <c r="L201" s="8"/>
    </row>
    <row r="202" spans="1:12">
      <c r="A202" s="57"/>
      <c r="B202" s="57"/>
      <c r="C202" s="57"/>
      <c r="D202" s="20"/>
      <c r="E202" s="20"/>
      <c r="F202" s="20"/>
      <c r="G202" s="20"/>
      <c r="H202" s="20"/>
      <c r="I202" s="20"/>
      <c r="J202" s="20"/>
      <c r="K202" s="8"/>
      <c r="L202" s="8"/>
    </row>
    <row r="203" spans="1:12" ht="16.5" thickBot="1">
      <c r="A203" s="57"/>
      <c r="B203" s="57"/>
      <c r="C203" s="57" t="s">
        <v>10</v>
      </c>
      <c r="D203" s="31">
        <f t="shared" ref="D203:I203" si="31">SUM(D200:D201)</f>
        <v>19633.66</v>
      </c>
      <c r="E203" s="31">
        <f t="shared" si="31"/>
        <v>370.81</v>
      </c>
      <c r="F203" s="31">
        <f t="shared" si="31"/>
        <v>0</v>
      </c>
      <c r="G203" s="31">
        <f t="shared" si="31"/>
        <v>0</v>
      </c>
      <c r="H203" s="31">
        <f t="shared" si="31"/>
        <v>0</v>
      </c>
      <c r="I203" s="31">
        <f t="shared" si="31"/>
        <v>0</v>
      </c>
      <c r="J203" s="31">
        <f>SUM(D203:I203)</f>
        <v>20004.47</v>
      </c>
      <c r="K203" s="8"/>
      <c r="L203" s="8"/>
    </row>
    <row r="204" spans="1:12" ht="16.5" thickTop="1">
      <c r="A204" s="57"/>
      <c r="B204" s="57"/>
      <c r="C204" s="57"/>
      <c r="D204" s="20"/>
      <c r="E204" s="20"/>
      <c r="F204" s="20"/>
      <c r="G204" s="20"/>
      <c r="H204" s="20"/>
      <c r="I204" s="20"/>
      <c r="J204" s="20"/>
      <c r="K204" s="8"/>
      <c r="L204" s="8"/>
    </row>
    <row r="205" spans="1:12">
      <c r="A205" s="57"/>
      <c r="B205" s="57"/>
      <c r="C205" s="57"/>
      <c r="D205" s="20"/>
      <c r="E205" s="20"/>
      <c r="F205" s="20"/>
      <c r="G205" s="20"/>
      <c r="H205" s="20"/>
      <c r="I205" s="20"/>
      <c r="J205" s="20"/>
      <c r="K205" s="8"/>
      <c r="L205" s="8"/>
    </row>
    <row r="206" spans="1:12" ht="16.5" thickBot="1">
      <c r="A206" s="57">
        <v>53</v>
      </c>
      <c r="B206" s="57" t="s">
        <v>48</v>
      </c>
      <c r="C206" s="57" t="s">
        <v>12</v>
      </c>
      <c r="D206" s="29">
        <v>44720.82</v>
      </c>
      <c r="E206" s="29">
        <v>84.4</v>
      </c>
      <c r="F206" s="29">
        <v>0</v>
      </c>
      <c r="G206" s="29">
        <v>0</v>
      </c>
      <c r="H206" s="29">
        <v>0</v>
      </c>
      <c r="I206" s="29">
        <v>0</v>
      </c>
      <c r="J206" s="29">
        <f>SUM(D206:I206)</f>
        <v>44805.22</v>
      </c>
      <c r="K206" s="8"/>
      <c r="L206" s="8"/>
    </row>
    <row r="207" spans="1:12" hidden="1">
      <c r="A207" s="57"/>
      <c r="B207" s="57"/>
      <c r="C207" s="57" t="s">
        <v>35</v>
      </c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f>SUM(D207:I207)</f>
        <v>0</v>
      </c>
      <c r="K207" s="8"/>
      <c r="L207" s="8"/>
    </row>
    <row r="208" spans="1:12" hidden="1">
      <c r="A208" s="57"/>
      <c r="B208" s="57"/>
      <c r="C208" s="57" t="s">
        <v>97</v>
      </c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f>SUM(D208:I208)</f>
        <v>0</v>
      </c>
      <c r="K208" s="8"/>
      <c r="L208" s="8"/>
    </row>
    <row r="209" spans="1:12" ht="16.5" hidden="1" thickBot="1">
      <c r="A209" s="57"/>
      <c r="B209" s="57"/>
      <c r="C209" s="57" t="s">
        <v>98</v>
      </c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f>SUM(D209:I209)</f>
        <v>0</v>
      </c>
      <c r="K209" s="8"/>
      <c r="L209" s="8"/>
    </row>
    <row r="210" spans="1:12">
      <c r="A210" s="57"/>
      <c r="B210" s="57"/>
      <c r="C210" s="57"/>
      <c r="D210" s="20"/>
      <c r="E210" s="20"/>
      <c r="F210" s="20"/>
      <c r="G210" s="20"/>
      <c r="H210" s="20"/>
      <c r="I210" s="20"/>
      <c r="J210" s="20"/>
      <c r="K210" s="8"/>
      <c r="L210" s="8"/>
    </row>
    <row r="211" spans="1:12" ht="16.5" thickBot="1">
      <c r="A211" s="57"/>
      <c r="B211" s="57"/>
      <c r="C211" s="57" t="s">
        <v>10</v>
      </c>
      <c r="D211" s="31">
        <f>SUM(D206:D210)</f>
        <v>44720.82</v>
      </c>
      <c r="E211" s="31">
        <f t="shared" ref="E211:J211" si="32">SUM(E206:E210)</f>
        <v>84.4</v>
      </c>
      <c r="F211" s="31">
        <f t="shared" si="32"/>
        <v>0</v>
      </c>
      <c r="G211" s="31">
        <f t="shared" si="32"/>
        <v>0</v>
      </c>
      <c r="H211" s="31">
        <f t="shared" si="32"/>
        <v>0</v>
      </c>
      <c r="I211" s="31">
        <f t="shared" si="32"/>
        <v>0</v>
      </c>
      <c r="J211" s="31">
        <f t="shared" si="32"/>
        <v>44805.22</v>
      </c>
      <c r="K211" s="8"/>
      <c r="L211" s="8"/>
    </row>
    <row r="212" spans="1:12" ht="16.5" thickTop="1">
      <c r="A212" s="57"/>
      <c r="B212" s="57"/>
      <c r="C212" s="57"/>
      <c r="D212" s="20"/>
      <c r="E212" s="20"/>
      <c r="F212" s="20"/>
      <c r="G212" s="20"/>
      <c r="H212" s="20"/>
      <c r="I212" s="20"/>
      <c r="J212" s="20"/>
      <c r="K212" s="8"/>
      <c r="L212" s="8"/>
    </row>
    <row r="213" spans="1:12">
      <c r="A213" s="57"/>
      <c r="B213" s="57"/>
      <c r="C213" s="57"/>
      <c r="D213" s="20"/>
      <c r="E213" s="20"/>
      <c r="F213" s="20"/>
      <c r="G213" s="20"/>
      <c r="H213" s="20"/>
      <c r="I213" s="20"/>
      <c r="J213" s="20"/>
      <c r="K213" s="8"/>
      <c r="L213" s="8"/>
    </row>
    <row r="214" spans="1:12">
      <c r="A214" s="57">
        <v>54</v>
      </c>
      <c r="B214" s="57" t="s">
        <v>49</v>
      </c>
      <c r="C214" s="57" t="s">
        <v>12</v>
      </c>
      <c r="D214" s="25">
        <v>16056.15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f>SUM(D214:I214)</f>
        <v>16056.15</v>
      </c>
      <c r="K214" s="8"/>
      <c r="L214" s="8"/>
    </row>
    <row r="215" spans="1:12" ht="16.5" hidden="1" thickBot="1">
      <c r="A215" s="57"/>
      <c r="B215" s="57"/>
      <c r="C215" s="57" t="s">
        <v>104</v>
      </c>
      <c r="D215" s="29"/>
      <c r="E215" s="29"/>
      <c r="F215" s="29"/>
      <c r="G215" s="29"/>
      <c r="H215" s="29"/>
      <c r="I215" s="29"/>
      <c r="J215" s="29">
        <f>SUM(D215:I215)</f>
        <v>0</v>
      </c>
      <c r="K215" s="8"/>
      <c r="L215" s="8"/>
    </row>
    <row r="216" spans="1:12">
      <c r="A216" s="57"/>
      <c r="B216" s="57"/>
      <c r="C216" s="57"/>
      <c r="D216" s="20"/>
      <c r="E216" s="20"/>
      <c r="F216" s="20"/>
      <c r="G216" s="20"/>
      <c r="H216" s="20"/>
      <c r="I216" s="20"/>
      <c r="J216" s="20"/>
      <c r="K216" s="8"/>
      <c r="L216" s="8"/>
    </row>
    <row r="217" spans="1:12" ht="16.5" thickBot="1">
      <c r="A217" s="57"/>
      <c r="B217" s="57"/>
      <c r="C217" s="57" t="s">
        <v>10</v>
      </c>
      <c r="D217" s="31">
        <f t="shared" ref="D217:I217" si="33">SUM(D214:D216)</f>
        <v>16056.15</v>
      </c>
      <c r="E217" s="31">
        <f t="shared" si="33"/>
        <v>0</v>
      </c>
      <c r="F217" s="31">
        <f t="shared" si="33"/>
        <v>0</v>
      </c>
      <c r="G217" s="31">
        <f t="shared" si="33"/>
        <v>0</v>
      </c>
      <c r="H217" s="31">
        <f t="shared" si="33"/>
        <v>0</v>
      </c>
      <c r="I217" s="31">
        <f t="shared" si="33"/>
        <v>0</v>
      </c>
      <c r="J217" s="31">
        <f>SUM(D217:I217)</f>
        <v>16056.15</v>
      </c>
      <c r="K217" s="8"/>
      <c r="L217" s="8"/>
    </row>
    <row r="218" spans="1:12" ht="16.5" thickTop="1">
      <c r="A218" s="57"/>
      <c r="B218" s="57"/>
      <c r="C218" s="57"/>
      <c r="D218" s="20"/>
      <c r="E218" s="20"/>
      <c r="F218" s="20"/>
      <c r="G218" s="20"/>
      <c r="H218" s="20"/>
      <c r="I218" s="20"/>
      <c r="J218" s="20"/>
      <c r="K218" s="8"/>
      <c r="L218" s="8"/>
    </row>
    <row r="219" spans="1:12">
      <c r="A219" s="57"/>
      <c r="B219" s="57"/>
      <c r="C219" s="57"/>
      <c r="D219" s="20"/>
      <c r="E219" s="20"/>
      <c r="F219" s="20"/>
      <c r="G219" s="20"/>
      <c r="H219" s="20"/>
      <c r="I219" s="20"/>
      <c r="J219" s="20"/>
      <c r="K219" s="8"/>
      <c r="L219" s="8"/>
    </row>
    <row r="220" spans="1:12">
      <c r="A220" s="57">
        <v>55</v>
      </c>
      <c r="B220" s="57" t="s">
        <v>50</v>
      </c>
      <c r="C220" s="57" t="s">
        <v>12</v>
      </c>
      <c r="D220" s="20">
        <v>62105.1</v>
      </c>
      <c r="E220" s="20">
        <v>266.81</v>
      </c>
      <c r="F220" s="20">
        <v>128.52000000000001</v>
      </c>
      <c r="G220" s="20">
        <v>0</v>
      </c>
      <c r="H220" s="20">
        <v>0</v>
      </c>
      <c r="I220" s="20">
        <v>0</v>
      </c>
      <c r="J220" s="20">
        <f>SUM(D220:I220)</f>
        <v>62500.429999999993</v>
      </c>
      <c r="K220" s="8"/>
      <c r="L220" s="8"/>
    </row>
    <row r="221" spans="1:12" ht="16.5" thickBot="1">
      <c r="A221" s="57"/>
      <c r="B221" s="57"/>
      <c r="C221" s="57" t="s">
        <v>13</v>
      </c>
      <c r="D221" s="29">
        <v>720.88</v>
      </c>
      <c r="E221" s="29">
        <v>6.79</v>
      </c>
      <c r="F221" s="29">
        <v>1.36</v>
      </c>
      <c r="G221" s="29">
        <v>0</v>
      </c>
      <c r="H221" s="29">
        <v>0</v>
      </c>
      <c r="I221" s="29">
        <v>0</v>
      </c>
      <c r="J221" s="29">
        <f>SUM(D221:I221)</f>
        <v>729.03</v>
      </c>
      <c r="K221" s="8"/>
      <c r="L221" s="8"/>
    </row>
    <row r="222" spans="1:12">
      <c r="A222" s="57"/>
      <c r="B222" s="57"/>
      <c r="C222" s="57"/>
      <c r="D222" s="20"/>
      <c r="E222" s="20"/>
      <c r="F222" s="20"/>
      <c r="G222" s="20"/>
      <c r="H222" s="20"/>
      <c r="I222" s="20"/>
      <c r="J222" s="20"/>
      <c r="K222" s="8"/>
      <c r="L222" s="8"/>
    </row>
    <row r="223" spans="1:12" ht="16.5" thickBot="1">
      <c r="A223" s="57"/>
      <c r="B223" s="57"/>
      <c r="C223" s="57" t="s">
        <v>10</v>
      </c>
      <c r="D223" s="31">
        <f t="shared" ref="D223:I223" si="34">SUM(D220:D221)</f>
        <v>62825.979999999996</v>
      </c>
      <c r="E223" s="31">
        <f t="shared" si="34"/>
        <v>273.60000000000002</v>
      </c>
      <c r="F223" s="31">
        <f t="shared" si="34"/>
        <v>129.88000000000002</v>
      </c>
      <c r="G223" s="31">
        <f t="shared" si="34"/>
        <v>0</v>
      </c>
      <c r="H223" s="31">
        <f t="shared" si="34"/>
        <v>0</v>
      </c>
      <c r="I223" s="31">
        <f t="shared" si="34"/>
        <v>0</v>
      </c>
      <c r="J223" s="31">
        <f>SUM(D223:I223)</f>
        <v>63229.459999999992</v>
      </c>
      <c r="K223" s="8"/>
      <c r="L223" s="8"/>
    </row>
    <row r="224" spans="1:12" ht="16.5" thickTop="1">
      <c r="A224" s="57"/>
      <c r="B224" s="57"/>
      <c r="C224" s="57"/>
      <c r="D224" s="20"/>
      <c r="E224" s="20"/>
      <c r="F224" s="20"/>
      <c r="G224" s="20"/>
      <c r="H224" s="20"/>
      <c r="I224" s="20"/>
      <c r="J224" s="20"/>
      <c r="K224" s="8"/>
      <c r="L224" s="8"/>
    </row>
    <row r="225" spans="1:12">
      <c r="A225" s="57"/>
      <c r="B225" s="57"/>
      <c r="C225" s="57"/>
      <c r="D225" s="20"/>
      <c r="E225" s="20"/>
      <c r="F225" s="20"/>
      <c r="G225" s="20"/>
      <c r="H225" s="20"/>
      <c r="I225" s="20"/>
      <c r="J225" s="20"/>
      <c r="K225" s="8"/>
      <c r="L225" s="8"/>
    </row>
    <row r="226" spans="1:12">
      <c r="A226" s="57">
        <v>56</v>
      </c>
      <c r="B226" s="57" t="s">
        <v>51</v>
      </c>
      <c r="C226" s="57" t="s">
        <v>12</v>
      </c>
      <c r="D226" s="20">
        <v>36075.599999999999</v>
      </c>
      <c r="E226" s="20">
        <v>508.15</v>
      </c>
      <c r="F226" s="20">
        <v>0</v>
      </c>
      <c r="G226" s="20">
        <v>0</v>
      </c>
      <c r="H226" s="20">
        <v>0</v>
      </c>
      <c r="I226" s="20">
        <v>0</v>
      </c>
      <c r="J226" s="20">
        <f>SUM(D226:I226)</f>
        <v>36583.75</v>
      </c>
      <c r="K226" s="8"/>
      <c r="L226" s="8"/>
    </row>
    <row r="227" spans="1:12" ht="16.5" thickBot="1">
      <c r="A227" s="57"/>
      <c r="B227" s="57"/>
      <c r="C227" s="57" t="s">
        <v>13</v>
      </c>
      <c r="D227" s="29">
        <v>1977.98</v>
      </c>
      <c r="E227" s="29">
        <v>28.65</v>
      </c>
      <c r="F227" s="29">
        <v>0</v>
      </c>
      <c r="G227" s="29">
        <v>0</v>
      </c>
      <c r="H227" s="29">
        <v>0</v>
      </c>
      <c r="I227" s="29">
        <v>0</v>
      </c>
      <c r="J227" s="29">
        <f>SUM(D227:I227)</f>
        <v>2006.63</v>
      </c>
      <c r="K227" s="8"/>
      <c r="L227" s="8"/>
    </row>
    <row r="228" spans="1:12">
      <c r="A228" s="57"/>
      <c r="B228" s="57"/>
      <c r="C228" s="57"/>
      <c r="D228" s="20"/>
      <c r="E228" s="20"/>
      <c r="F228" s="20"/>
      <c r="G228" s="20"/>
      <c r="H228" s="20"/>
      <c r="I228" s="20"/>
      <c r="J228" s="20"/>
      <c r="K228" s="8"/>
      <c r="L228" s="8"/>
    </row>
    <row r="229" spans="1:12" ht="16.5" thickBot="1">
      <c r="A229" s="57"/>
      <c r="B229" s="57"/>
      <c r="C229" s="57" t="s">
        <v>10</v>
      </c>
      <c r="D229" s="31">
        <f t="shared" ref="D229:I229" si="35">SUM(D226:D227)</f>
        <v>38053.58</v>
      </c>
      <c r="E229" s="31">
        <f t="shared" si="35"/>
        <v>536.79999999999995</v>
      </c>
      <c r="F229" s="31">
        <f t="shared" si="35"/>
        <v>0</v>
      </c>
      <c r="G229" s="31">
        <f t="shared" si="35"/>
        <v>0</v>
      </c>
      <c r="H229" s="31">
        <f t="shared" si="35"/>
        <v>0</v>
      </c>
      <c r="I229" s="31">
        <f t="shared" si="35"/>
        <v>0</v>
      </c>
      <c r="J229" s="31">
        <f>SUM(D229:I229)</f>
        <v>38590.380000000005</v>
      </c>
      <c r="K229" s="8"/>
      <c r="L229" s="8"/>
    </row>
    <row r="230" spans="1:12" ht="16.5" thickTop="1">
      <c r="A230" s="57"/>
      <c r="B230" s="57"/>
      <c r="C230" s="57"/>
      <c r="D230" s="20"/>
      <c r="E230" s="20"/>
      <c r="F230" s="20"/>
      <c r="G230" s="20"/>
      <c r="H230" s="20"/>
      <c r="I230" s="20"/>
      <c r="J230" s="20"/>
      <c r="K230" s="8"/>
      <c r="L230" s="8"/>
    </row>
    <row r="231" spans="1:12">
      <c r="A231" s="57"/>
      <c r="B231" s="57"/>
      <c r="C231" s="57"/>
      <c r="D231" s="20"/>
      <c r="E231" s="20"/>
      <c r="F231" s="20"/>
      <c r="G231" s="20"/>
      <c r="H231" s="20"/>
      <c r="I231" s="20"/>
      <c r="J231" s="20"/>
      <c r="K231" s="8"/>
      <c r="L231" s="8"/>
    </row>
    <row r="232" spans="1:12">
      <c r="A232" s="57">
        <v>57</v>
      </c>
      <c r="B232" s="57" t="s">
        <v>52</v>
      </c>
      <c r="C232" s="57" t="s">
        <v>12</v>
      </c>
      <c r="D232" s="20">
        <v>43772.54</v>
      </c>
      <c r="E232" s="20">
        <v>96.87</v>
      </c>
      <c r="F232" s="20">
        <v>0</v>
      </c>
      <c r="G232" s="20">
        <v>0</v>
      </c>
      <c r="H232" s="20">
        <v>0</v>
      </c>
      <c r="I232" s="20">
        <v>0</v>
      </c>
      <c r="J232" s="20">
        <f>SUM(D232:I232)</f>
        <v>43869.41</v>
      </c>
      <c r="K232" s="8"/>
      <c r="L232" s="8"/>
    </row>
    <row r="233" spans="1:12" hidden="1">
      <c r="A233" s="57"/>
      <c r="B233" s="57"/>
      <c r="C233" s="57" t="s">
        <v>13</v>
      </c>
      <c r="D233" s="20"/>
      <c r="E233" s="20"/>
      <c r="F233" s="20"/>
      <c r="G233" s="20">
        <v>0</v>
      </c>
      <c r="H233" s="20">
        <v>0</v>
      </c>
      <c r="I233" s="20">
        <v>0</v>
      </c>
      <c r="J233" s="20">
        <f t="shared" ref="J233:J234" si="36">SUM(D233:I233)</f>
        <v>0</v>
      </c>
      <c r="K233" s="8"/>
      <c r="L233" s="8"/>
    </row>
    <row r="234" spans="1:12" ht="16.5" thickBot="1">
      <c r="A234" s="57"/>
      <c r="B234" s="57"/>
      <c r="C234" s="57" t="s">
        <v>13</v>
      </c>
      <c r="D234" s="29">
        <v>802.5</v>
      </c>
      <c r="E234" s="29">
        <v>1.86</v>
      </c>
      <c r="F234" s="29">
        <v>0</v>
      </c>
      <c r="G234" s="29">
        <v>0</v>
      </c>
      <c r="H234" s="29">
        <v>0</v>
      </c>
      <c r="I234" s="29">
        <v>0</v>
      </c>
      <c r="J234" s="29">
        <f t="shared" si="36"/>
        <v>804.36</v>
      </c>
      <c r="K234" s="8"/>
      <c r="L234" s="8"/>
    </row>
    <row r="235" spans="1:12" ht="16.5" hidden="1" thickBot="1">
      <c r="A235" s="57"/>
      <c r="B235" s="57"/>
      <c r="C235" s="57" t="s">
        <v>109</v>
      </c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f>SUM(D235:I235)</f>
        <v>0</v>
      </c>
      <c r="K235" s="8"/>
      <c r="L235" s="8"/>
    </row>
    <row r="236" spans="1:12">
      <c r="A236" s="57"/>
      <c r="B236" s="57"/>
      <c r="C236" s="57"/>
      <c r="D236" s="20"/>
      <c r="E236" s="20"/>
      <c r="F236" s="20"/>
      <c r="G236" s="20"/>
      <c r="H236" s="20"/>
      <c r="I236" s="20"/>
      <c r="J236" s="20"/>
      <c r="K236" s="8"/>
      <c r="L236" s="8"/>
    </row>
    <row r="237" spans="1:12" ht="16.5" thickBot="1">
      <c r="A237" s="57"/>
      <c r="B237" s="57"/>
      <c r="C237" s="57" t="s">
        <v>10</v>
      </c>
      <c r="D237" s="31">
        <f t="shared" ref="D237:I237" si="37">SUM(D232:D235)</f>
        <v>44575.040000000001</v>
      </c>
      <c r="E237" s="31">
        <f t="shared" si="37"/>
        <v>98.73</v>
      </c>
      <c r="F237" s="31">
        <f t="shared" si="37"/>
        <v>0</v>
      </c>
      <c r="G237" s="31">
        <f t="shared" si="37"/>
        <v>0</v>
      </c>
      <c r="H237" s="31">
        <f t="shared" si="37"/>
        <v>0</v>
      </c>
      <c r="I237" s="31">
        <f t="shared" si="37"/>
        <v>0</v>
      </c>
      <c r="J237" s="31">
        <f>SUM(D237:I237)</f>
        <v>44673.770000000004</v>
      </c>
      <c r="K237" s="8"/>
      <c r="L237" s="8"/>
    </row>
    <row r="238" spans="1:12" ht="16.5" thickTop="1">
      <c r="A238" s="57"/>
      <c r="B238" s="57"/>
      <c r="C238" s="57"/>
      <c r="D238" s="20"/>
      <c r="E238" s="20"/>
      <c r="F238" s="20"/>
      <c r="G238" s="20"/>
      <c r="H238" s="20"/>
      <c r="I238" s="20"/>
      <c r="J238" s="20"/>
      <c r="K238" s="8"/>
      <c r="L238" s="8"/>
    </row>
    <row r="239" spans="1:12">
      <c r="A239" s="57"/>
      <c r="B239" s="57"/>
      <c r="C239" s="57"/>
      <c r="D239" s="20"/>
      <c r="E239" s="20"/>
      <c r="F239" s="20"/>
      <c r="G239" s="20"/>
      <c r="H239" s="20"/>
      <c r="I239" s="20"/>
      <c r="J239" s="20"/>
      <c r="K239" s="8"/>
      <c r="L239" s="8"/>
    </row>
    <row r="240" spans="1:12">
      <c r="A240" s="57">
        <v>58</v>
      </c>
      <c r="B240" s="57" t="s">
        <v>53</v>
      </c>
      <c r="C240" s="57" t="s">
        <v>12</v>
      </c>
      <c r="D240" s="20">
        <v>18870.3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f>SUM(D240:I240)</f>
        <v>18870.3</v>
      </c>
      <c r="K240" s="8"/>
      <c r="L240" s="8"/>
    </row>
    <row r="241" spans="1:12" ht="16.5" thickBot="1">
      <c r="A241" s="57"/>
      <c r="B241" s="57"/>
      <c r="C241" s="57" t="s">
        <v>116</v>
      </c>
      <c r="D241" s="29">
        <v>28538.63</v>
      </c>
      <c r="E241" s="29">
        <v>0</v>
      </c>
      <c r="F241" s="29">
        <v>0</v>
      </c>
      <c r="G241" s="29"/>
      <c r="H241" s="29"/>
      <c r="I241" s="29"/>
      <c r="J241" s="29">
        <v>0</v>
      </c>
      <c r="K241" s="8"/>
      <c r="L241" s="8"/>
    </row>
    <row r="242" spans="1:12">
      <c r="A242" s="57"/>
      <c r="B242" s="57"/>
      <c r="C242" s="57"/>
      <c r="D242" s="20"/>
      <c r="E242" s="20"/>
      <c r="F242" s="20"/>
      <c r="G242" s="20"/>
      <c r="H242" s="20"/>
      <c r="I242" s="20"/>
      <c r="J242" s="20"/>
      <c r="K242" s="8"/>
      <c r="L242" s="8"/>
    </row>
    <row r="243" spans="1:12" ht="16.5" thickBot="1">
      <c r="A243" s="57"/>
      <c r="B243" s="57"/>
      <c r="C243" s="57" t="s">
        <v>10</v>
      </c>
      <c r="D243" s="31">
        <f t="shared" ref="D243:I243" si="38">SUM(D240:D241)</f>
        <v>47408.93</v>
      </c>
      <c r="E243" s="31">
        <f t="shared" si="38"/>
        <v>0</v>
      </c>
      <c r="F243" s="31">
        <f t="shared" si="38"/>
        <v>0</v>
      </c>
      <c r="G243" s="31">
        <f t="shared" si="38"/>
        <v>0</v>
      </c>
      <c r="H243" s="31">
        <f t="shared" si="38"/>
        <v>0</v>
      </c>
      <c r="I243" s="31">
        <f t="shared" si="38"/>
        <v>0</v>
      </c>
      <c r="J243" s="31">
        <f>SUM(D243:I243)</f>
        <v>47408.93</v>
      </c>
      <c r="K243" s="8"/>
      <c r="L243" s="8"/>
    </row>
    <row r="244" spans="1:12" ht="16.5" thickTop="1">
      <c r="A244" s="57"/>
      <c r="B244" s="57"/>
      <c r="C244" s="57"/>
      <c r="D244" s="20"/>
      <c r="E244" s="20"/>
      <c r="F244" s="20"/>
      <c r="G244" s="20"/>
      <c r="H244" s="20"/>
      <c r="I244" s="20"/>
      <c r="J244" s="20"/>
      <c r="K244" s="8"/>
      <c r="L244" s="8"/>
    </row>
    <row r="245" spans="1:12">
      <c r="A245" s="57"/>
      <c r="B245" s="57"/>
      <c r="C245" s="57"/>
      <c r="D245" s="20"/>
      <c r="E245" s="20"/>
      <c r="F245" s="20"/>
      <c r="G245" s="20"/>
      <c r="H245" s="20"/>
      <c r="I245" s="20"/>
      <c r="J245" s="20"/>
      <c r="K245" s="8"/>
      <c r="L245" s="8"/>
    </row>
    <row r="246" spans="1:12">
      <c r="A246" s="57">
        <v>59</v>
      </c>
      <c r="B246" s="57" t="s">
        <v>54</v>
      </c>
      <c r="C246" s="57" t="s">
        <v>12</v>
      </c>
      <c r="D246" s="20">
        <v>42552.21</v>
      </c>
      <c r="E246" s="20">
        <v>525.63</v>
      </c>
      <c r="F246" s="20">
        <v>100.75</v>
      </c>
      <c r="G246" s="20">
        <v>0</v>
      </c>
      <c r="H246" s="20">
        <v>0</v>
      </c>
      <c r="I246" s="20">
        <v>0</v>
      </c>
      <c r="J246" s="20">
        <f>SUM(D246:I246)</f>
        <v>43178.59</v>
      </c>
      <c r="K246" s="8"/>
      <c r="L246" s="8"/>
    </row>
    <row r="247" spans="1:12" ht="16.5" thickBot="1">
      <c r="A247" s="57"/>
      <c r="B247" s="57"/>
      <c r="C247" s="57"/>
      <c r="D247" s="29"/>
      <c r="E247" s="29"/>
      <c r="F247" s="29"/>
      <c r="G247" s="29">
        <v>0</v>
      </c>
      <c r="H247" s="29">
        <v>0</v>
      </c>
      <c r="I247" s="29">
        <v>0</v>
      </c>
      <c r="J247" s="29">
        <f>SUM(D247:I247)</f>
        <v>0</v>
      </c>
      <c r="K247" s="8"/>
      <c r="L247" s="8"/>
    </row>
    <row r="248" spans="1:12">
      <c r="A248" s="57"/>
      <c r="B248" s="57"/>
      <c r="C248" s="57"/>
      <c r="D248" s="20"/>
      <c r="E248" s="20"/>
      <c r="F248" s="20"/>
      <c r="G248" s="20"/>
      <c r="H248" s="20"/>
      <c r="I248" s="20"/>
      <c r="J248" s="20"/>
      <c r="K248" s="8"/>
      <c r="L248" s="8"/>
    </row>
    <row r="249" spans="1:12" ht="16.5" thickBot="1">
      <c r="A249" s="57"/>
      <c r="B249" s="57"/>
      <c r="C249" s="57" t="s">
        <v>10</v>
      </c>
      <c r="D249" s="31">
        <f t="shared" ref="D249:I249" si="39">SUM(D246:D247)</f>
        <v>42552.21</v>
      </c>
      <c r="E249" s="31">
        <f t="shared" si="39"/>
        <v>525.63</v>
      </c>
      <c r="F249" s="31">
        <f t="shared" si="39"/>
        <v>100.75</v>
      </c>
      <c r="G249" s="31">
        <f t="shared" si="39"/>
        <v>0</v>
      </c>
      <c r="H249" s="31">
        <f t="shared" si="39"/>
        <v>0</v>
      </c>
      <c r="I249" s="31">
        <f t="shared" si="39"/>
        <v>0</v>
      </c>
      <c r="J249" s="31">
        <f>SUM(D249:I249)</f>
        <v>43178.59</v>
      </c>
      <c r="K249" s="8"/>
      <c r="L249" s="8"/>
    </row>
    <row r="250" spans="1:12" ht="16.5" thickTop="1">
      <c r="A250" s="57"/>
      <c r="B250" s="57"/>
      <c r="C250" s="57"/>
      <c r="D250" s="20"/>
      <c r="E250" s="20"/>
      <c r="F250" s="20"/>
      <c r="G250" s="20"/>
      <c r="H250" s="20"/>
      <c r="I250" s="20"/>
      <c r="J250" s="20"/>
      <c r="K250" s="8"/>
      <c r="L250" s="8"/>
    </row>
    <row r="251" spans="1:12">
      <c r="A251" s="57"/>
      <c r="B251" s="57"/>
      <c r="C251" s="57"/>
      <c r="D251" s="20"/>
      <c r="E251" s="20"/>
      <c r="F251" s="20"/>
      <c r="G251" s="20"/>
      <c r="H251" s="20"/>
      <c r="I251" s="20"/>
      <c r="J251" s="20"/>
      <c r="K251" s="8"/>
      <c r="L251" s="8"/>
    </row>
    <row r="252" spans="1:12">
      <c r="A252" s="57">
        <v>60</v>
      </c>
      <c r="B252" s="57" t="s">
        <v>55</v>
      </c>
      <c r="C252" s="57" t="s">
        <v>12</v>
      </c>
      <c r="D252" s="20">
        <v>118900</v>
      </c>
      <c r="E252" s="20">
        <v>1989.22</v>
      </c>
      <c r="F252" s="20">
        <v>307.55</v>
      </c>
      <c r="G252" s="20">
        <v>0</v>
      </c>
      <c r="H252" s="20">
        <v>0</v>
      </c>
      <c r="I252" s="20">
        <v>0</v>
      </c>
      <c r="J252" s="20">
        <f>SUM(D252:I252)</f>
        <v>121196.77</v>
      </c>
      <c r="K252" s="8"/>
      <c r="L252" s="8"/>
    </row>
    <row r="253" spans="1:12" hidden="1">
      <c r="A253" s="57"/>
      <c r="B253" s="57"/>
      <c r="C253" s="57" t="s">
        <v>35</v>
      </c>
      <c r="D253" s="20"/>
      <c r="E253" s="20"/>
      <c r="F253" s="20"/>
      <c r="G253" s="20">
        <v>0</v>
      </c>
      <c r="H253" s="20">
        <v>0</v>
      </c>
      <c r="I253" s="20">
        <v>0</v>
      </c>
      <c r="J253" s="20">
        <f>SUM(D253:I253)</f>
        <v>0</v>
      </c>
      <c r="K253" s="8"/>
      <c r="L253" s="8"/>
    </row>
    <row r="254" spans="1:12" ht="16.5" thickBot="1">
      <c r="A254" s="57"/>
      <c r="B254" s="57"/>
      <c r="C254" s="57"/>
      <c r="D254" s="29"/>
      <c r="E254" s="29"/>
      <c r="F254" s="29"/>
      <c r="G254" s="29">
        <v>0</v>
      </c>
      <c r="H254" s="29">
        <v>0</v>
      </c>
      <c r="I254" s="29">
        <v>0</v>
      </c>
      <c r="J254" s="29">
        <f>SUM(D254:I254)</f>
        <v>0</v>
      </c>
      <c r="K254" s="8"/>
      <c r="L254" s="8"/>
    </row>
    <row r="255" spans="1:12" hidden="1">
      <c r="A255" s="57"/>
      <c r="B255" s="57"/>
      <c r="C255" s="57" t="s">
        <v>98</v>
      </c>
      <c r="D255" s="2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f>SUM(D255:I255)</f>
        <v>0</v>
      </c>
      <c r="K255" s="8"/>
      <c r="L255" s="8"/>
    </row>
    <row r="256" spans="1:12">
      <c r="A256" s="57"/>
      <c r="B256" s="57"/>
      <c r="C256" s="57"/>
      <c r="D256" s="20"/>
      <c r="E256" s="20"/>
      <c r="F256" s="20"/>
      <c r="G256" s="20"/>
      <c r="H256" s="20"/>
      <c r="I256" s="20"/>
      <c r="J256" s="20"/>
      <c r="K256" s="8"/>
      <c r="L256" s="8"/>
    </row>
    <row r="257" spans="1:12">
      <c r="A257" s="57"/>
      <c r="B257" s="57"/>
      <c r="C257" s="57"/>
      <c r="D257" s="20"/>
      <c r="E257" s="20"/>
      <c r="F257" s="20"/>
      <c r="G257" s="20"/>
      <c r="H257" s="20"/>
      <c r="I257" s="20"/>
      <c r="J257" s="20"/>
      <c r="K257" s="8"/>
      <c r="L257" s="8"/>
    </row>
    <row r="258" spans="1:12" ht="16.5" thickBot="1">
      <c r="A258" s="57"/>
      <c r="B258" s="57"/>
      <c r="C258" s="57" t="s">
        <v>10</v>
      </c>
      <c r="D258" s="31">
        <f t="shared" ref="D258:I258" si="40">SUM(D252:D257)</f>
        <v>118900</v>
      </c>
      <c r="E258" s="31">
        <f t="shared" si="40"/>
        <v>1989.22</v>
      </c>
      <c r="F258" s="31">
        <f t="shared" si="40"/>
        <v>307.55</v>
      </c>
      <c r="G258" s="31">
        <f t="shared" si="40"/>
        <v>0</v>
      </c>
      <c r="H258" s="31">
        <f t="shared" si="40"/>
        <v>0</v>
      </c>
      <c r="I258" s="31">
        <f t="shared" si="40"/>
        <v>0</v>
      </c>
      <c r="J258" s="31">
        <f>SUM(D258:I258)</f>
        <v>121196.77</v>
      </c>
      <c r="K258" s="8"/>
      <c r="L258" s="8"/>
    </row>
    <row r="259" spans="1:12" ht="16.5" thickTop="1">
      <c r="A259" s="57"/>
      <c r="B259" s="57"/>
      <c r="C259" s="57"/>
      <c r="D259" s="20"/>
      <c r="E259" s="20"/>
      <c r="F259" s="20"/>
      <c r="G259" s="20"/>
      <c r="H259" s="20"/>
      <c r="I259" s="20"/>
      <c r="J259" s="20"/>
      <c r="K259" s="8"/>
      <c r="L259" s="8"/>
    </row>
    <row r="260" spans="1:12">
      <c r="A260" s="57"/>
      <c r="B260" s="57"/>
      <c r="C260" s="57"/>
      <c r="D260" s="20"/>
      <c r="E260" s="20"/>
      <c r="F260" s="20"/>
      <c r="G260" s="20"/>
      <c r="H260" s="20"/>
      <c r="I260" s="20"/>
      <c r="J260" s="20"/>
      <c r="K260" s="8"/>
      <c r="L260" s="8"/>
    </row>
    <row r="261" spans="1:12">
      <c r="A261" s="57">
        <v>61</v>
      </c>
      <c r="B261" s="57" t="s">
        <v>56</v>
      </c>
      <c r="C261" s="57" t="s">
        <v>12</v>
      </c>
      <c r="D261" s="39">
        <v>14206.74</v>
      </c>
      <c r="E261" s="20">
        <v>125</v>
      </c>
      <c r="F261" s="20">
        <v>0</v>
      </c>
      <c r="G261" s="20">
        <v>0</v>
      </c>
      <c r="H261" s="20">
        <v>0</v>
      </c>
      <c r="I261" s="20">
        <v>0</v>
      </c>
      <c r="J261" s="20">
        <f>SUM(D261:I261)</f>
        <v>14331.74</v>
      </c>
      <c r="K261" s="8"/>
      <c r="L261" s="8"/>
    </row>
    <row r="262" spans="1:12" ht="16.5" thickBot="1">
      <c r="A262" s="57"/>
      <c r="B262" s="57"/>
      <c r="C262" s="57" t="s">
        <v>13</v>
      </c>
      <c r="D262" s="29">
        <v>2657.95</v>
      </c>
      <c r="E262" s="29">
        <v>5.0999999999999996</v>
      </c>
      <c r="F262" s="29">
        <v>0</v>
      </c>
      <c r="G262" s="29">
        <v>0</v>
      </c>
      <c r="H262" s="29">
        <v>0</v>
      </c>
      <c r="I262" s="29">
        <v>0</v>
      </c>
      <c r="J262" s="29">
        <f>SUM(D262:I262)</f>
        <v>2663.0499999999997</v>
      </c>
      <c r="K262" s="8"/>
      <c r="L262" s="8"/>
    </row>
    <row r="263" spans="1:12" ht="16.5" hidden="1" thickBot="1">
      <c r="A263" s="57"/>
      <c r="B263" s="57"/>
      <c r="C263" s="57" t="s">
        <v>99</v>
      </c>
      <c r="D263" s="29">
        <v>0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29">
        <f>SUM(D263:I263)</f>
        <v>0</v>
      </c>
      <c r="K263" s="8"/>
      <c r="L263" s="8"/>
    </row>
    <row r="264" spans="1:12">
      <c r="A264" s="57"/>
      <c r="B264" s="57"/>
      <c r="C264" s="57"/>
      <c r="D264" s="20"/>
      <c r="E264" s="20"/>
      <c r="F264" s="20"/>
      <c r="G264" s="20"/>
      <c r="H264" s="20"/>
      <c r="I264" s="20"/>
      <c r="J264" s="20"/>
      <c r="K264" s="8"/>
      <c r="L264" s="8"/>
    </row>
    <row r="265" spans="1:12" ht="16.5" thickBot="1">
      <c r="A265" s="57"/>
      <c r="B265" s="57"/>
      <c r="C265" s="57" t="s">
        <v>10</v>
      </c>
      <c r="D265" s="31">
        <f>SUM(D261:D263)</f>
        <v>16864.689999999999</v>
      </c>
      <c r="E265" s="31">
        <f t="shared" ref="E265:J265" si="41">SUM(E261:E263)</f>
        <v>130.1</v>
      </c>
      <c r="F265" s="31">
        <f t="shared" si="41"/>
        <v>0</v>
      </c>
      <c r="G265" s="31">
        <f t="shared" si="41"/>
        <v>0</v>
      </c>
      <c r="H265" s="31">
        <f t="shared" si="41"/>
        <v>0</v>
      </c>
      <c r="I265" s="31">
        <f t="shared" si="41"/>
        <v>0</v>
      </c>
      <c r="J265" s="31">
        <f t="shared" si="41"/>
        <v>16994.79</v>
      </c>
      <c r="K265" s="8"/>
      <c r="L265" s="8"/>
    </row>
    <row r="266" spans="1:12" ht="16.5" thickTop="1">
      <c r="A266" s="57"/>
      <c r="B266" s="57"/>
      <c r="C266" s="57"/>
      <c r="D266" s="20"/>
      <c r="E266" s="20"/>
      <c r="F266" s="20"/>
      <c r="G266" s="20"/>
      <c r="H266" s="20"/>
      <c r="I266" s="20"/>
      <c r="J266" s="20"/>
      <c r="K266" s="8"/>
      <c r="L266" s="8"/>
    </row>
    <row r="267" spans="1:12">
      <c r="A267" s="57"/>
      <c r="B267" s="57"/>
      <c r="C267" s="57"/>
      <c r="D267" s="20"/>
      <c r="E267" s="20"/>
      <c r="F267" s="20"/>
      <c r="G267" s="20"/>
      <c r="H267" s="20"/>
      <c r="I267" s="20"/>
      <c r="J267" s="20"/>
      <c r="K267" s="8"/>
      <c r="L267" s="8"/>
    </row>
    <row r="268" spans="1:12">
      <c r="A268" s="57">
        <v>62</v>
      </c>
      <c r="B268" s="57" t="s">
        <v>57</v>
      </c>
      <c r="C268" s="57" t="s">
        <v>12</v>
      </c>
      <c r="D268" s="20">
        <v>13800.31</v>
      </c>
      <c r="E268" s="20">
        <v>49.03</v>
      </c>
      <c r="F268" s="20">
        <v>42.19</v>
      </c>
      <c r="G268" s="20">
        <v>0</v>
      </c>
      <c r="H268" s="20">
        <v>0</v>
      </c>
      <c r="I268" s="20">
        <v>0</v>
      </c>
      <c r="J268" s="20">
        <f>SUM(D268:I268)</f>
        <v>13891.53</v>
      </c>
      <c r="K268" s="8"/>
      <c r="L268" s="8"/>
    </row>
    <row r="269" spans="1:12" ht="16.5" thickBot="1">
      <c r="A269" s="57"/>
      <c r="B269" s="57"/>
      <c r="C269" s="57" t="s">
        <v>13</v>
      </c>
      <c r="D269" s="29">
        <v>1464.38</v>
      </c>
      <c r="E269" s="29">
        <v>6.7</v>
      </c>
      <c r="F269" s="29">
        <v>6.49</v>
      </c>
      <c r="G269" s="29">
        <v>0</v>
      </c>
      <c r="H269" s="29">
        <v>0</v>
      </c>
      <c r="I269" s="29">
        <v>0</v>
      </c>
      <c r="J269" s="29">
        <f>SUM(D269:I269)</f>
        <v>1477.5700000000002</v>
      </c>
      <c r="K269" s="8"/>
      <c r="L269" s="8"/>
    </row>
    <row r="270" spans="1:12">
      <c r="A270" s="57"/>
      <c r="B270" s="57"/>
      <c r="C270" s="57"/>
      <c r="D270" s="20"/>
      <c r="E270" s="20"/>
      <c r="F270" s="20"/>
      <c r="G270" s="20"/>
      <c r="H270" s="20"/>
      <c r="I270" s="20"/>
      <c r="J270" s="20"/>
      <c r="K270" s="8"/>
      <c r="L270" s="8"/>
    </row>
    <row r="271" spans="1:12" ht="16.5" thickBot="1">
      <c r="A271" s="57"/>
      <c r="B271" s="57"/>
      <c r="C271" s="57" t="s">
        <v>10</v>
      </c>
      <c r="D271" s="31">
        <f t="shared" ref="D271:I271" si="42">SUM(D268:D269)</f>
        <v>15264.689999999999</v>
      </c>
      <c r="E271" s="31">
        <f t="shared" si="42"/>
        <v>55.730000000000004</v>
      </c>
      <c r="F271" s="31">
        <f t="shared" si="42"/>
        <v>48.68</v>
      </c>
      <c r="G271" s="31">
        <f t="shared" si="42"/>
        <v>0</v>
      </c>
      <c r="H271" s="31">
        <f t="shared" si="42"/>
        <v>0</v>
      </c>
      <c r="I271" s="31">
        <f t="shared" si="42"/>
        <v>0</v>
      </c>
      <c r="J271" s="31">
        <f>SUM(D271:I271)</f>
        <v>15369.099999999999</v>
      </c>
      <c r="K271" s="8"/>
      <c r="L271" s="8"/>
    </row>
    <row r="272" spans="1:12" ht="16.5" thickTop="1">
      <c r="A272" s="57"/>
      <c r="B272" s="57"/>
      <c r="C272" s="57"/>
      <c r="D272" s="20"/>
      <c r="E272" s="20"/>
      <c r="F272" s="20"/>
      <c r="G272" s="20"/>
      <c r="H272" s="20"/>
      <c r="I272" s="20"/>
      <c r="J272" s="20"/>
      <c r="K272" s="8"/>
      <c r="L272" s="8"/>
    </row>
    <row r="273" spans="1:12">
      <c r="A273" s="57"/>
      <c r="B273" s="57"/>
      <c r="C273" s="57"/>
      <c r="D273" s="20"/>
      <c r="E273" s="20"/>
      <c r="F273" s="20"/>
      <c r="G273" s="20"/>
      <c r="H273" s="20"/>
      <c r="I273" s="20"/>
      <c r="J273" s="20"/>
      <c r="K273" s="8"/>
      <c r="L273" s="8"/>
    </row>
    <row r="274" spans="1:12">
      <c r="A274" s="57">
        <v>63</v>
      </c>
      <c r="B274" s="57" t="s">
        <v>58</v>
      </c>
      <c r="C274" s="57" t="s">
        <v>12</v>
      </c>
      <c r="D274" s="20">
        <v>16762.29</v>
      </c>
      <c r="E274" s="20">
        <v>391.68</v>
      </c>
      <c r="F274" s="20">
        <v>74.59</v>
      </c>
      <c r="G274" s="20">
        <v>0</v>
      </c>
      <c r="H274" s="20">
        <v>0</v>
      </c>
      <c r="I274" s="20">
        <v>0</v>
      </c>
      <c r="J274" s="20">
        <f>SUM(D274:I274)</f>
        <v>17228.560000000001</v>
      </c>
      <c r="K274" s="8"/>
      <c r="L274" s="8"/>
    </row>
    <row r="275" spans="1:12" ht="16.5" thickBot="1">
      <c r="A275" s="57"/>
      <c r="B275" s="57"/>
      <c r="C275" s="57" t="s">
        <v>13</v>
      </c>
      <c r="D275" s="29">
        <v>584.59</v>
      </c>
      <c r="E275" s="29">
        <v>13.49</v>
      </c>
      <c r="F275" s="29">
        <v>2.62</v>
      </c>
      <c r="G275" s="29">
        <v>0</v>
      </c>
      <c r="H275" s="29">
        <v>0</v>
      </c>
      <c r="I275" s="29">
        <v>0</v>
      </c>
      <c r="J275" s="29">
        <f>SUM(D275:I275)</f>
        <v>600.70000000000005</v>
      </c>
      <c r="K275" s="8"/>
      <c r="L275" s="8"/>
    </row>
    <row r="276" spans="1:12">
      <c r="A276" s="57"/>
      <c r="B276" s="57"/>
      <c r="C276" s="57"/>
      <c r="D276" s="20"/>
      <c r="E276" s="20"/>
      <c r="F276" s="20"/>
      <c r="G276" s="20"/>
      <c r="H276" s="20"/>
      <c r="I276" s="20"/>
      <c r="J276" s="20"/>
      <c r="K276" s="8"/>
      <c r="L276" s="8"/>
    </row>
    <row r="277" spans="1:12" ht="16.5" thickBot="1">
      <c r="A277" s="57"/>
      <c r="B277" s="57"/>
      <c r="C277" s="57" t="s">
        <v>10</v>
      </c>
      <c r="D277" s="31">
        <f t="shared" ref="D277:I277" si="43">SUM(D274:D275)</f>
        <v>17346.88</v>
      </c>
      <c r="E277" s="31">
        <f t="shared" si="43"/>
        <v>405.17</v>
      </c>
      <c r="F277" s="31">
        <f t="shared" si="43"/>
        <v>77.210000000000008</v>
      </c>
      <c r="G277" s="31">
        <f t="shared" si="43"/>
        <v>0</v>
      </c>
      <c r="H277" s="31">
        <f t="shared" si="43"/>
        <v>0</v>
      </c>
      <c r="I277" s="31">
        <f t="shared" si="43"/>
        <v>0</v>
      </c>
      <c r="J277" s="31">
        <f>SUM(D277:I277)</f>
        <v>17829.259999999998</v>
      </c>
      <c r="K277" s="8"/>
      <c r="L277" s="8"/>
    </row>
    <row r="278" spans="1:12" ht="16.5" thickTop="1">
      <c r="A278" s="57"/>
      <c r="B278" s="57"/>
      <c r="C278" s="57"/>
      <c r="D278" s="20"/>
      <c r="E278" s="20"/>
      <c r="F278" s="20"/>
      <c r="G278" s="20"/>
      <c r="H278" s="20"/>
      <c r="I278" s="20"/>
      <c r="J278" s="20"/>
      <c r="K278" s="8"/>
      <c r="L278" s="8"/>
    </row>
    <row r="279" spans="1:12">
      <c r="A279" s="57"/>
      <c r="B279" s="57"/>
      <c r="C279" s="57"/>
      <c r="D279" s="20"/>
      <c r="E279" s="20"/>
      <c r="F279" s="20"/>
      <c r="G279" s="20"/>
      <c r="H279" s="20"/>
      <c r="I279" s="20"/>
      <c r="J279" s="20"/>
      <c r="K279" s="8"/>
      <c r="L279" s="8"/>
    </row>
    <row r="280" spans="1:12" ht="16.5" thickBot="1">
      <c r="A280" s="57">
        <v>64</v>
      </c>
      <c r="B280" s="57" t="s">
        <v>59</v>
      </c>
      <c r="C280" s="57" t="s">
        <v>12</v>
      </c>
      <c r="D280" s="50">
        <v>103791.82</v>
      </c>
      <c r="E280" s="29">
        <v>734.36</v>
      </c>
      <c r="F280" s="29">
        <v>336.57</v>
      </c>
      <c r="G280" s="29">
        <v>0</v>
      </c>
      <c r="H280" s="29">
        <v>0</v>
      </c>
      <c r="I280" s="29">
        <v>0</v>
      </c>
      <c r="J280" s="29">
        <f>SUM(D280:I280)</f>
        <v>104862.75000000001</v>
      </c>
      <c r="K280" s="8"/>
      <c r="L280" s="8"/>
    </row>
    <row r="281" spans="1:12">
      <c r="A281" s="57"/>
      <c r="B281" s="57"/>
      <c r="C281" s="57"/>
      <c r="D281" s="20"/>
      <c r="E281" s="20"/>
      <c r="F281" s="20"/>
      <c r="G281" s="20"/>
      <c r="H281" s="20"/>
      <c r="I281" s="20"/>
      <c r="J281" s="20"/>
      <c r="K281" s="8"/>
      <c r="L281" s="8"/>
    </row>
    <row r="282" spans="1:12" ht="16.5" thickBot="1">
      <c r="A282" s="57"/>
      <c r="B282" s="57"/>
      <c r="C282" s="57" t="s">
        <v>10</v>
      </c>
      <c r="D282" s="31">
        <f t="shared" ref="D282:I282" si="44">SUM(D280:D281)</f>
        <v>103791.82</v>
      </c>
      <c r="E282" s="31">
        <f t="shared" si="44"/>
        <v>734.36</v>
      </c>
      <c r="F282" s="31">
        <f t="shared" si="44"/>
        <v>336.57</v>
      </c>
      <c r="G282" s="31">
        <f t="shared" si="44"/>
        <v>0</v>
      </c>
      <c r="H282" s="31">
        <f t="shared" si="44"/>
        <v>0</v>
      </c>
      <c r="I282" s="31">
        <f t="shared" si="44"/>
        <v>0</v>
      </c>
      <c r="J282" s="31">
        <f>SUM(D282:I282)</f>
        <v>104862.75000000001</v>
      </c>
      <c r="K282" s="8"/>
      <c r="L282" s="8"/>
    </row>
    <row r="283" spans="1:12" ht="16.5" thickTop="1">
      <c r="A283" s="57"/>
      <c r="B283" s="57"/>
      <c r="C283" s="57"/>
      <c r="D283" s="20"/>
      <c r="E283" s="20"/>
      <c r="F283" s="20"/>
      <c r="G283" s="20"/>
      <c r="H283" s="20"/>
      <c r="I283" s="20"/>
      <c r="J283" s="20"/>
      <c r="K283" s="8"/>
      <c r="L283" s="8"/>
    </row>
    <row r="284" spans="1:12">
      <c r="A284" s="57"/>
      <c r="B284" s="59"/>
      <c r="C284" s="59"/>
      <c r="D284" s="36"/>
      <c r="E284" s="36"/>
      <c r="F284" s="36"/>
      <c r="G284" s="22"/>
      <c r="H284" s="22"/>
      <c r="I284" s="22"/>
      <c r="J284" s="20"/>
      <c r="K284" s="8"/>
      <c r="L284" s="8"/>
    </row>
    <row r="285" spans="1:12" ht="16.5" thickBot="1">
      <c r="A285" s="57">
        <v>65</v>
      </c>
      <c r="B285" s="57" t="s">
        <v>60</v>
      </c>
      <c r="C285" s="57" t="s">
        <v>12</v>
      </c>
      <c r="D285" s="29">
        <v>20007.16</v>
      </c>
      <c r="E285" s="29">
        <v>303.02999999999997</v>
      </c>
      <c r="F285" s="29">
        <v>13.66</v>
      </c>
      <c r="G285" s="29">
        <v>0</v>
      </c>
      <c r="H285" s="29">
        <v>0</v>
      </c>
      <c r="I285" s="29">
        <v>0</v>
      </c>
      <c r="J285" s="29">
        <f>SUM(D285:I285)</f>
        <v>20323.849999999999</v>
      </c>
      <c r="K285" s="8"/>
      <c r="L285" s="8"/>
    </row>
    <row r="286" spans="1:12" ht="16.5" hidden="1" thickBot="1">
      <c r="A286" s="57"/>
      <c r="B286" s="57"/>
      <c r="C286" s="57" t="s">
        <v>13</v>
      </c>
      <c r="D286" s="29"/>
      <c r="E286" s="29"/>
      <c r="F286" s="29"/>
      <c r="G286" s="29"/>
      <c r="H286" s="29"/>
      <c r="I286" s="29"/>
      <c r="J286" s="29"/>
      <c r="K286" s="8"/>
      <c r="L286" s="8"/>
    </row>
    <row r="287" spans="1:12">
      <c r="A287" s="57"/>
      <c r="B287" s="57"/>
      <c r="C287" s="57"/>
      <c r="D287" s="20"/>
      <c r="E287" s="20"/>
      <c r="F287" s="20"/>
      <c r="G287" s="20"/>
      <c r="H287" s="20"/>
      <c r="I287" s="20"/>
      <c r="J287" s="20"/>
      <c r="K287" s="8"/>
      <c r="L287" s="8"/>
    </row>
    <row r="288" spans="1:12" ht="16.5" thickBot="1">
      <c r="A288" s="57"/>
      <c r="B288" s="57"/>
      <c r="C288" s="57" t="s">
        <v>10</v>
      </c>
      <c r="D288" s="31">
        <f t="shared" ref="D288:I288" si="45">SUM(D285:D286)</f>
        <v>20007.16</v>
      </c>
      <c r="E288" s="31">
        <f t="shared" si="45"/>
        <v>303.02999999999997</v>
      </c>
      <c r="F288" s="31">
        <f t="shared" si="45"/>
        <v>13.66</v>
      </c>
      <c r="G288" s="31">
        <f t="shared" si="45"/>
        <v>0</v>
      </c>
      <c r="H288" s="31">
        <f t="shared" si="45"/>
        <v>0</v>
      </c>
      <c r="I288" s="31">
        <f t="shared" si="45"/>
        <v>0</v>
      </c>
      <c r="J288" s="31">
        <f>SUM(D288:I288)</f>
        <v>20323.849999999999</v>
      </c>
      <c r="K288" s="8"/>
      <c r="L288" s="8"/>
    </row>
    <row r="289" spans="1:12" ht="16.5" thickTop="1">
      <c r="A289" s="57"/>
      <c r="B289" s="57"/>
      <c r="C289" s="57"/>
      <c r="D289" s="20"/>
      <c r="E289" s="20"/>
      <c r="F289" s="20"/>
      <c r="G289" s="20"/>
      <c r="H289" s="20"/>
      <c r="I289" s="20"/>
      <c r="J289" s="20"/>
      <c r="K289" s="8"/>
      <c r="L289" s="8"/>
    </row>
    <row r="290" spans="1:12">
      <c r="A290" s="57"/>
      <c r="B290" s="57"/>
      <c r="C290" s="57"/>
      <c r="D290" s="20"/>
      <c r="E290" s="20"/>
      <c r="F290" s="20"/>
      <c r="G290" s="20"/>
      <c r="H290" s="20"/>
      <c r="I290" s="20"/>
      <c r="J290" s="20"/>
      <c r="K290" s="8"/>
      <c r="L290" s="8"/>
    </row>
    <row r="291" spans="1:12">
      <c r="A291" s="57">
        <v>66</v>
      </c>
      <c r="B291" s="57" t="s">
        <v>61</v>
      </c>
      <c r="C291" s="57" t="s">
        <v>12</v>
      </c>
      <c r="D291" s="20">
        <v>22495.99</v>
      </c>
      <c r="E291" s="20">
        <v>183.21</v>
      </c>
      <c r="F291" s="20">
        <v>71.8</v>
      </c>
      <c r="G291" s="20">
        <v>0</v>
      </c>
      <c r="H291" s="20">
        <v>0</v>
      </c>
      <c r="I291" s="20">
        <v>0</v>
      </c>
      <c r="J291" s="20">
        <f>SUM(D291:I291)</f>
        <v>22751</v>
      </c>
      <c r="K291" s="8"/>
      <c r="L291" s="8"/>
    </row>
    <row r="292" spans="1:12" hidden="1">
      <c r="A292" s="57"/>
      <c r="B292" s="57"/>
      <c r="C292" s="57" t="s">
        <v>35</v>
      </c>
      <c r="D292" s="20"/>
      <c r="E292" s="20"/>
      <c r="F292" s="20"/>
      <c r="G292" s="20">
        <v>0</v>
      </c>
      <c r="H292" s="20">
        <v>0</v>
      </c>
      <c r="I292" s="20">
        <v>0</v>
      </c>
      <c r="J292" s="20">
        <f>SUM(D292:I292)</f>
        <v>0</v>
      </c>
      <c r="K292" s="8"/>
      <c r="L292" s="8"/>
    </row>
    <row r="293" spans="1:12" hidden="1">
      <c r="A293" s="57"/>
      <c r="B293" s="57"/>
      <c r="C293" s="57" t="s">
        <v>73</v>
      </c>
      <c r="D293" s="20"/>
      <c r="E293" s="20"/>
      <c r="F293" s="20"/>
      <c r="G293" s="20">
        <v>0</v>
      </c>
      <c r="H293" s="20">
        <v>0</v>
      </c>
      <c r="I293" s="20">
        <v>0</v>
      </c>
      <c r="J293" s="20">
        <f>SUM(D293:I293)</f>
        <v>0</v>
      </c>
      <c r="K293" s="8"/>
      <c r="L293" s="8"/>
    </row>
    <row r="294" spans="1:12" ht="16.5" thickBot="1">
      <c r="A294" s="57"/>
      <c r="B294" s="57"/>
      <c r="C294" s="57"/>
      <c r="D294" s="29"/>
      <c r="E294" s="29"/>
      <c r="F294" s="29"/>
      <c r="G294" s="29">
        <v>0</v>
      </c>
      <c r="H294" s="29">
        <v>0</v>
      </c>
      <c r="I294" s="29">
        <v>0</v>
      </c>
      <c r="J294" s="29">
        <f>SUM(D294:I294)</f>
        <v>0</v>
      </c>
      <c r="K294" s="8"/>
      <c r="L294" s="8"/>
    </row>
    <row r="295" spans="1:12">
      <c r="A295" s="57"/>
      <c r="B295" s="57"/>
      <c r="C295" s="57"/>
      <c r="D295" s="20"/>
      <c r="E295" s="20"/>
      <c r="F295" s="20"/>
      <c r="G295" s="20"/>
      <c r="H295" s="20"/>
      <c r="I295" s="20"/>
      <c r="J295" s="20"/>
      <c r="K295" s="8"/>
      <c r="L295" s="8"/>
    </row>
    <row r="296" spans="1:12" ht="16.5" thickBot="1">
      <c r="A296" s="57"/>
      <c r="B296" s="57"/>
      <c r="C296" s="57" t="s">
        <v>10</v>
      </c>
      <c r="D296" s="31">
        <f t="shared" ref="D296:I296" si="46">SUM(D291:D294)</f>
        <v>22495.99</v>
      </c>
      <c r="E296" s="31">
        <f t="shared" si="46"/>
        <v>183.21</v>
      </c>
      <c r="F296" s="31">
        <f t="shared" si="46"/>
        <v>71.8</v>
      </c>
      <c r="G296" s="31">
        <f t="shared" si="46"/>
        <v>0</v>
      </c>
      <c r="H296" s="31">
        <f t="shared" si="46"/>
        <v>0</v>
      </c>
      <c r="I296" s="31">
        <f t="shared" si="46"/>
        <v>0</v>
      </c>
      <c r="J296" s="31">
        <f>SUM(D296:I296)</f>
        <v>22751</v>
      </c>
      <c r="K296" s="8"/>
      <c r="L296" s="8"/>
    </row>
    <row r="297" spans="1:12" ht="16.5" thickTop="1">
      <c r="A297" s="57"/>
      <c r="B297" s="57"/>
      <c r="C297" s="57"/>
      <c r="D297" s="20"/>
      <c r="E297" s="20"/>
      <c r="F297" s="20"/>
      <c r="G297" s="20"/>
      <c r="H297" s="20"/>
      <c r="I297" s="20"/>
      <c r="J297" s="20"/>
      <c r="K297" s="8"/>
      <c r="L297" s="8"/>
    </row>
    <row r="298" spans="1:12">
      <c r="A298" s="57"/>
      <c r="B298" s="57"/>
      <c r="C298" s="57"/>
      <c r="D298" s="20"/>
      <c r="E298" s="20"/>
      <c r="F298" s="20"/>
      <c r="G298" s="20"/>
      <c r="H298" s="20"/>
      <c r="I298" s="20"/>
      <c r="J298" s="20"/>
      <c r="K298" s="8"/>
      <c r="L298" s="8"/>
    </row>
    <row r="299" spans="1:12">
      <c r="A299" s="57">
        <v>67</v>
      </c>
      <c r="B299" s="57" t="s">
        <v>62</v>
      </c>
      <c r="C299" s="57" t="s">
        <v>12</v>
      </c>
      <c r="D299" s="20">
        <v>45142.81</v>
      </c>
      <c r="E299" s="20">
        <v>718.98</v>
      </c>
      <c r="F299" s="20">
        <v>5.69</v>
      </c>
      <c r="G299" s="20">
        <v>0</v>
      </c>
      <c r="H299" s="20">
        <v>0</v>
      </c>
      <c r="I299" s="20">
        <v>0</v>
      </c>
      <c r="J299" s="20">
        <f>SUM(D299:I299)</f>
        <v>45867.48</v>
      </c>
      <c r="K299" s="8"/>
      <c r="L299" s="8"/>
    </row>
    <row r="300" spans="1:12" ht="16.5" thickBot="1">
      <c r="A300" s="57"/>
      <c r="B300" s="57"/>
      <c r="C300" s="57" t="s">
        <v>13</v>
      </c>
      <c r="D300" s="29">
        <v>532.04</v>
      </c>
      <c r="E300" s="29">
        <v>9.24</v>
      </c>
      <c r="F300" s="29">
        <v>0.08</v>
      </c>
      <c r="G300" s="29">
        <v>0</v>
      </c>
      <c r="H300" s="29">
        <v>0</v>
      </c>
      <c r="I300" s="29">
        <v>0</v>
      </c>
      <c r="J300" s="29">
        <f>SUM(D300:I300)</f>
        <v>541.36</v>
      </c>
      <c r="K300" s="8"/>
      <c r="L300" s="8"/>
    </row>
    <row r="301" spans="1:12">
      <c r="A301" s="57"/>
      <c r="B301" s="57"/>
      <c r="C301" s="57"/>
      <c r="D301" s="20"/>
      <c r="E301" s="20"/>
      <c r="F301" s="20"/>
      <c r="G301" s="20"/>
      <c r="H301" s="20"/>
      <c r="I301" s="20"/>
      <c r="J301" s="20"/>
      <c r="K301" s="8"/>
      <c r="L301" s="8"/>
    </row>
    <row r="302" spans="1:12" ht="16.5" thickBot="1">
      <c r="A302" s="57"/>
      <c r="B302" s="57"/>
      <c r="C302" s="57" t="s">
        <v>10</v>
      </c>
      <c r="D302" s="31">
        <f t="shared" ref="D302:I302" si="47">SUM(D299:D300)</f>
        <v>45674.85</v>
      </c>
      <c r="E302" s="31">
        <f t="shared" si="47"/>
        <v>728.22</v>
      </c>
      <c r="F302" s="31">
        <f t="shared" si="47"/>
        <v>5.7700000000000005</v>
      </c>
      <c r="G302" s="31">
        <f t="shared" si="47"/>
        <v>0</v>
      </c>
      <c r="H302" s="31">
        <f t="shared" si="47"/>
        <v>0</v>
      </c>
      <c r="I302" s="31">
        <f t="shared" si="47"/>
        <v>0</v>
      </c>
      <c r="J302" s="31">
        <f>SUM(D302:I302)</f>
        <v>46408.84</v>
      </c>
      <c r="K302" s="8"/>
      <c r="L302" s="8"/>
    </row>
    <row r="303" spans="1:12" ht="16.5" thickTop="1">
      <c r="A303" s="57"/>
      <c r="B303" s="57"/>
      <c r="C303" s="57"/>
      <c r="D303" s="20"/>
      <c r="E303" s="20"/>
      <c r="F303" s="20"/>
      <c r="G303" s="20"/>
      <c r="H303" s="20"/>
      <c r="I303" s="20"/>
      <c r="J303" s="20"/>
      <c r="K303" s="8"/>
      <c r="L303" s="8"/>
    </row>
    <row r="304" spans="1:12">
      <c r="A304" s="57"/>
      <c r="B304" s="57"/>
      <c r="C304" s="57"/>
      <c r="D304" s="20"/>
      <c r="E304" s="20"/>
      <c r="F304" s="20"/>
      <c r="G304" s="20"/>
      <c r="H304" s="20"/>
      <c r="I304" s="20"/>
      <c r="J304" s="20"/>
      <c r="K304" s="8"/>
      <c r="L304" s="8"/>
    </row>
    <row r="305" spans="1:12">
      <c r="A305" s="57">
        <v>68</v>
      </c>
      <c r="B305" s="57" t="s">
        <v>63</v>
      </c>
      <c r="C305" s="57" t="s">
        <v>12</v>
      </c>
      <c r="D305" s="25">
        <v>14746.58</v>
      </c>
      <c r="E305" s="25">
        <v>308.27</v>
      </c>
      <c r="F305" s="25">
        <v>104.96</v>
      </c>
      <c r="G305" s="25">
        <v>0</v>
      </c>
      <c r="H305" s="25">
        <v>0</v>
      </c>
      <c r="I305" s="25">
        <v>0</v>
      </c>
      <c r="J305" s="25">
        <f>SUM(D305:I305)</f>
        <v>15159.81</v>
      </c>
      <c r="K305" s="8"/>
      <c r="L305" s="8"/>
    </row>
    <row r="306" spans="1:12" ht="16.5" hidden="1" thickBot="1">
      <c r="A306" s="57"/>
      <c r="B306" s="57"/>
      <c r="C306" s="57" t="s">
        <v>13</v>
      </c>
      <c r="D306" s="29"/>
      <c r="E306" s="29"/>
      <c r="F306" s="29"/>
      <c r="G306" s="29"/>
      <c r="H306" s="29"/>
      <c r="I306" s="29"/>
      <c r="J306" s="29"/>
      <c r="K306" s="8"/>
      <c r="L306" s="8"/>
    </row>
    <row r="307" spans="1:12">
      <c r="A307" s="57"/>
      <c r="B307" s="57"/>
      <c r="C307" s="57"/>
      <c r="D307" s="20"/>
      <c r="E307" s="20"/>
      <c r="F307" s="20"/>
      <c r="G307" s="20"/>
      <c r="H307" s="20"/>
      <c r="I307" s="20"/>
      <c r="J307" s="20"/>
      <c r="K307" s="8"/>
      <c r="L307" s="8"/>
    </row>
    <row r="308" spans="1:12" ht="16.5" thickBot="1">
      <c r="A308" s="57"/>
      <c r="B308" s="57"/>
      <c r="C308" s="57" t="s">
        <v>10</v>
      </c>
      <c r="D308" s="31">
        <f t="shared" ref="D308:I308" si="48">SUM(D305:D306)</f>
        <v>14746.58</v>
      </c>
      <c r="E308" s="31">
        <f t="shared" si="48"/>
        <v>308.27</v>
      </c>
      <c r="F308" s="31">
        <f t="shared" si="48"/>
        <v>104.96</v>
      </c>
      <c r="G308" s="31">
        <f t="shared" si="48"/>
        <v>0</v>
      </c>
      <c r="H308" s="31">
        <f t="shared" si="48"/>
        <v>0</v>
      </c>
      <c r="I308" s="31">
        <f t="shared" si="48"/>
        <v>0</v>
      </c>
      <c r="J308" s="31">
        <f>SUM(D308:I308)</f>
        <v>15159.81</v>
      </c>
      <c r="K308" s="8"/>
      <c r="L308" s="8"/>
    </row>
    <row r="309" spans="1:12" ht="16.5" thickTop="1">
      <c r="A309" s="57"/>
      <c r="B309" s="57"/>
      <c r="C309" s="57"/>
      <c r="D309" s="20"/>
      <c r="E309" s="20"/>
      <c r="F309" s="20"/>
      <c r="G309" s="20"/>
      <c r="H309" s="20"/>
      <c r="I309" s="20"/>
      <c r="J309" s="20"/>
      <c r="K309" s="8"/>
      <c r="L309" s="8"/>
    </row>
    <row r="310" spans="1:12">
      <c r="A310" s="57"/>
      <c r="B310" s="57"/>
      <c r="C310" s="57"/>
      <c r="D310" s="20"/>
      <c r="E310" s="20"/>
      <c r="F310" s="20"/>
      <c r="G310" s="20"/>
      <c r="H310" s="20"/>
      <c r="I310" s="20"/>
      <c r="J310" s="20"/>
      <c r="K310" s="8"/>
      <c r="L310" s="8"/>
    </row>
    <row r="311" spans="1:12">
      <c r="A311" s="57">
        <v>69</v>
      </c>
      <c r="B311" s="57" t="s">
        <v>64</v>
      </c>
      <c r="C311" s="57" t="s">
        <v>12</v>
      </c>
      <c r="D311" s="25">
        <v>14948.54</v>
      </c>
      <c r="E311" s="25">
        <v>179.97</v>
      </c>
      <c r="F311" s="25">
        <v>2.65</v>
      </c>
      <c r="G311" s="25">
        <v>0</v>
      </c>
      <c r="H311" s="25">
        <v>0</v>
      </c>
      <c r="I311" s="25">
        <v>0</v>
      </c>
      <c r="J311" s="25">
        <f>SUM(D311:I311)</f>
        <v>15131.16</v>
      </c>
      <c r="K311" s="8"/>
      <c r="L311" s="8"/>
    </row>
    <row r="312" spans="1:12" ht="16.5" hidden="1" thickBot="1">
      <c r="A312" s="57"/>
      <c r="B312" s="57"/>
      <c r="C312" s="57" t="s">
        <v>13</v>
      </c>
      <c r="D312" s="29"/>
      <c r="E312" s="29"/>
      <c r="F312" s="29"/>
      <c r="G312" s="29"/>
      <c r="H312" s="29"/>
      <c r="I312" s="29"/>
      <c r="J312" s="29">
        <v>0</v>
      </c>
      <c r="K312" s="8"/>
      <c r="L312" s="8"/>
    </row>
    <row r="313" spans="1:12">
      <c r="A313" s="57"/>
      <c r="B313" s="57"/>
      <c r="C313" s="57"/>
      <c r="D313" s="20"/>
      <c r="E313" s="20"/>
      <c r="F313" s="20"/>
      <c r="G313" s="20"/>
      <c r="H313" s="20"/>
      <c r="I313" s="20"/>
      <c r="J313" s="20"/>
      <c r="K313" s="8"/>
      <c r="L313" s="8"/>
    </row>
    <row r="314" spans="1:12" ht="16.5" thickBot="1">
      <c r="A314" s="57"/>
      <c r="B314" s="57"/>
      <c r="C314" s="57" t="s">
        <v>10</v>
      </c>
      <c r="D314" s="31">
        <f t="shared" ref="D314:I314" si="49">SUM(D311:D312)</f>
        <v>14948.54</v>
      </c>
      <c r="E314" s="31">
        <f t="shared" si="49"/>
        <v>179.97</v>
      </c>
      <c r="F314" s="31">
        <f t="shared" si="49"/>
        <v>2.65</v>
      </c>
      <c r="G314" s="31">
        <f t="shared" si="49"/>
        <v>0</v>
      </c>
      <c r="H314" s="31">
        <f t="shared" si="49"/>
        <v>0</v>
      </c>
      <c r="I314" s="31">
        <f t="shared" si="49"/>
        <v>0</v>
      </c>
      <c r="J314" s="31">
        <f>SUM(D314:I314)</f>
        <v>15131.16</v>
      </c>
      <c r="K314" s="8"/>
      <c r="L314" s="8"/>
    </row>
    <row r="315" spans="1:12" ht="16.5" thickTop="1">
      <c r="A315" s="57"/>
      <c r="B315" s="57"/>
      <c r="C315" s="57"/>
      <c r="D315" s="20"/>
      <c r="E315" s="20"/>
      <c r="F315" s="20"/>
      <c r="G315" s="20"/>
      <c r="H315" s="20"/>
      <c r="I315" s="20"/>
      <c r="J315" s="20"/>
      <c r="K315" s="8"/>
      <c r="L315" s="8"/>
    </row>
    <row r="316" spans="1:12">
      <c r="A316" s="57"/>
      <c r="B316" s="57"/>
      <c r="C316" s="57"/>
      <c r="D316" s="20"/>
      <c r="E316" s="20"/>
      <c r="F316" s="20"/>
      <c r="G316" s="20"/>
      <c r="H316" s="20"/>
      <c r="I316" s="20"/>
      <c r="J316" s="20"/>
      <c r="K316" s="8"/>
      <c r="L316" s="8"/>
    </row>
    <row r="317" spans="1:12">
      <c r="A317" s="57">
        <v>70</v>
      </c>
      <c r="B317" s="57" t="s">
        <v>65</v>
      </c>
      <c r="C317" s="57" t="s">
        <v>12</v>
      </c>
      <c r="D317" s="25">
        <v>17857.68</v>
      </c>
      <c r="E317" s="25">
        <v>169.42</v>
      </c>
      <c r="F317" s="25">
        <v>0</v>
      </c>
      <c r="G317" s="25">
        <v>0</v>
      </c>
      <c r="H317" s="25">
        <v>0</v>
      </c>
      <c r="I317" s="25">
        <v>0</v>
      </c>
      <c r="J317" s="25">
        <f>SUM(D317:I317)</f>
        <v>18027.099999999999</v>
      </c>
      <c r="K317" s="8"/>
      <c r="L317" s="8"/>
    </row>
    <row r="318" spans="1:12" ht="16.5" hidden="1" thickBot="1">
      <c r="A318" s="57"/>
      <c r="B318" s="57"/>
      <c r="C318" s="57" t="s">
        <v>78</v>
      </c>
      <c r="D318" s="29"/>
      <c r="E318" s="29"/>
      <c r="F318" s="29"/>
      <c r="G318" s="29"/>
      <c r="H318" s="29"/>
      <c r="I318" s="29"/>
      <c r="J318" s="29">
        <f>SUM(D318:I318)</f>
        <v>0</v>
      </c>
      <c r="K318" s="8"/>
      <c r="L318" s="8"/>
    </row>
    <row r="319" spans="1:12">
      <c r="A319" s="57"/>
      <c r="B319" s="57"/>
      <c r="C319" s="57"/>
      <c r="D319" s="20"/>
      <c r="E319" s="20"/>
      <c r="F319" s="20"/>
      <c r="G319" s="20"/>
      <c r="H319" s="20"/>
      <c r="I319" s="20"/>
      <c r="J319" s="20"/>
      <c r="K319" s="8"/>
      <c r="L319" s="8"/>
    </row>
    <row r="320" spans="1:12" ht="16.5" thickBot="1">
      <c r="A320" s="57"/>
      <c r="B320" s="57"/>
      <c r="C320" s="57" t="s">
        <v>10</v>
      </c>
      <c r="D320" s="31">
        <f t="shared" ref="D320:I320" si="50">SUM(D317:D319)</f>
        <v>17857.68</v>
      </c>
      <c r="E320" s="31">
        <f t="shared" si="50"/>
        <v>169.42</v>
      </c>
      <c r="F320" s="31">
        <f t="shared" si="50"/>
        <v>0</v>
      </c>
      <c r="G320" s="31">
        <f t="shared" si="50"/>
        <v>0</v>
      </c>
      <c r="H320" s="31">
        <f t="shared" si="50"/>
        <v>0</v>
      </c>
      <c r="I320" s="31">
        <f t="shared" si="50"/>
        <v>0</v>
      </c>
      <c r="J320" s="31">
        <f>SUM(D320:I320)</f>
        <v>18027.099999999999</v>
      </c>
      <c r="K320" s="8"/>
      <c r="L320" s="8"/>
    </row>
    <row r="321" spans="1:12" ht="16.5" thickTop="1">
      <c r="A321" s="57"/>
      <c r="B321" s="57"/>
      <c r="C321" s="57"/>
      <c r="D321" s="20"/>
      <c r="E321" s="20"/>
      <c r="F321" s="20"/>
      <c r="G321" s="20"/>
      <c r="H321" s="20"/>
      <c r="I321" s="20"/>
      <c r="J321" s="20"/>
      <c r="K321" s="8"/>
      <c r="L321" s="8"/>
    </row>
    <row r="322" spans="1:12">
      <c r="A322" s="57"/>
      <c r="B322" s="57"/>
      <c r="C322" s="57" t="s">
        <v>66</v>
      </c>
      <c r="D322" s="20">
        <f t="shared" ref="D322:I322" si="51">SUM(D10:D320)/2</f>
        <v>1416822.8900000004</v>
      </c>
      <c r="E322" s="20">
        <f t="shared" si="51"/>
        <v>17647.809999999994</v>
      </c>
      <c r="F322" s="20">
        <f t="shared" si="51"/>
        <v>2063.64</v>
      </c>
      <c r="G322" s="20">
        <f t="shared" si="51"/>
        <v>0</v>
      </c>
      <c r="H322" s="20">
        <f t="shared" si="51"/>
        <v>0</v>
      </c>
      <c r="I322" s="20">
        <f t="shared" si="51"/>
        <v>0</v>
      </c>
      <c r="J322" s="20">
        <f>SUM(D322:I322)</f>
        <v>1436534.3400000003</v>
      </c>
      <c r="K322" s="8"/>
      <c r="L322" s="8"/>
    </row>
    <row r="323" spans="1:12">
      <c r="A323" s="57"/>
      <c r="B323" s="57"/>
      <c r="C323" s="57"/>
      <c r="D323" s="20"/>
      <c r="E323" s="20"/>
      <c r="F323" s="20"/>
      <c r="G323" s="20"/>
      <c r="H323" s="20"/>
      <c r="I323" s="20"/>
      <c r="J323" s="20"/>
      <c r="K323" s="8"/>
      <c r="L323" s="8"/>
    </row>
    <row r="324" spans="1:12">
      <c r="A324" s="57"/>
      <c r="B324" s="57"/>
      <c r="C324" s="57"/>
      <c r="D324" s="20"/>
      <c r="E324" s="20"/>
      <c r="F324" s="20"/>
      <c r="G324" s="20"/>
      <c r="H324" s="20"/>
      <c r="I324" s="20"/>
      <c r="J324" s="20"/>
      <c r="K324" s="8"/>
      <c r="L324" s="8"/>
    </row>
  </sheetData>
  <pageMargins left="0.5" right="0.5" top="2" bottom="0.25" header="0.5" footer="0.5"/>
  <pageSetup scale="70" fitToHeight="50" orientation="portrait" r:id="rId1"/>
  <headerFooter alignWithMargins="0">
    <oddHeader xml:space="preserve">&amp;L&amp;"SWISS,Bold"&amp;16&amp;G
 </oddHeader>
    <oddFooter>&amp;L&amp;"SWISS,Bold"&amp;14
Cass County Finance Office
211 9th Street South
PO Box 2806
Fargo, ND 58108-2806
701-241-5600</oddFooter>
  </headerFooter>
  <rowBreaks count="51" manualBreakCount="51">
    <brk id="7" max="65535" man="1"/>
    <brk id="14" max="16383" man="1"/>
    <brk id="20" max="16383" man="1"/>
    <brk id="26" max="16383" man="1"/>
    <brk id="32" max="16383" man="1"/>
    <brk id="37" max="16383" man="1"/>
    <brk id="43" max="16383" man="1"/>
    <brk id="49" max="65535" man="1"/>
    <brk id="55" max="16383" man="1"/>
    <brk id="64" max="16383" man="1"/>
    <brk id="70" max="16383" man="1"/>
    <brk id="76" max="16383" man="1"/>
    <brk id="84" max="16383" man="1"/>
    <brk id="90" max="16383" man="1"/>
    <brk id="98" max="16383" man="1"/>
    <brk id="104" max="16383" man="1"/>
    <brk id="111" max="16383" man="1"/>
    <brk id="116" max="16383" man="1"/>
    <brk id="124" max="16383" man="1"/>
    <brk id="128" max="9" man="1"/>
    <brk id="133" max="16383" man="1"/>
    <brk id="140" max="16383" man="1"/>
    <brk id="146" max="16383" man="1"/>
    <brk id="154" max="16383" man="1"/>
    <brk id="159" max="9" man="1"/>
    <brk id="165" max="16383" man="1"/>
    <brk id="170" max="16383" man="1"/>
    <brk id="175" max="16383" man="1"/>
    <brk id="180" max="16383" man="1"/>
    <brk id="185" max="16383" man="1"/>
    <brk id="191" max="16383" man="1"/>
    <brk id="198" max="16383" man="1"/>
    <brk id="204" max="16383" man="1"/>
    <brk id="212" max="16383" man="1"/>
    <brk id="218" max="16383" man="1"/>
    <brk id="224" max="16383" man="1"/>
    <brk id="230" max="16383" man="1"/>
    <brk id="238" max="16383" man="1"/>
    <brk id="244" max="16383" man="1"/>
    <brk id="250" max="16383" man="1"/>
    <brk id="259" max="16383" man="1"/>
    <brk id="266" max="16383" man="1"/>
    <brk id="272" max="16383" man="1"/>
    <brk id="278" max="16383" man="1"/>
    <brk id="283" max="16383" man="1"/>
    <brk id="289" max="16383" man="1"/>
    <brk id="297" max="16383" man="1"/>
    <brk id="303" max="16383" man="1"/>
    <brk id="309" max="16383" man="1"/>
    <brk id="315" max="16383" man="1"/>
    <brk id="321" max="16383" man="1"/>
  </rowBreaks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ADD27-0F02-4EDC-8995-1D49CF51505D}">
  <sheetPr>
    <pageSetUpPr autoPageBreaks="0"/>
  </sheetPr>
  <dimension ref="A1:L324"/>
  <sheetViews>
    <sheetView showOutlineSymbols="0" defaultGridColor="0" view="pageBreakPreview" colorId="23" zoomScale="80" zoomScaleNormal="75" zoomScaleSheetLayoutView="80" workbookViewId="0">
      <selection activeCell="M34" sqref="M34"/>
    </sheetView>
  </sheetViews>
  <sheetFormatPr defaultColWidth="9.6640625" defaultRowHeight="15.75"/>
  <cols>
    <col min="1" max="1" width="9.6640625" style="60" customWidth="1"/>
    <col min="2" max="2" width="20.21875" style="60" customWidth="1"/>
    <col min="3" max="3" width="24.44140625" style="60" bestFit="1" customWidth="1"/>
    <col min="4" max="5" width="12.77734375" style="23" customWidth="1"/>
    <col min="6" max="6" width="12.6640625" style="23" customWidth="1"/>
    <col min="7" max="8" width="11.6640625" style="23" hidden="1" customWidth="1"/>
    <col min="9" max="9" width="9.6640625" style="23" hidden="1" customWidth="1"/>
    <col min="10" max="10" width="14.44140625" style="23" customWidth="1"/>
    <col min="11" max="16384" width="9.6640625" style="10"/>
  </cols>
  <sheetData>
    <row r="1" spans="1:12">
      <c r="A1" s="57"/>
      <c r="B1" s="57"/>
      <c r="C1" s="57"/>
      <c r="D1" s="20"/>
      <c r="E1" s="20"/>
      <c r="F1" s="20"/>
      <c r="G1" s="20"/>
      <c r="H1" s="20"/>
      <c r="I1" s="21"/>
      <c r="J1" s="20"/>
      <c r="K1" s="8"/>
      <c r="L1" s="8"/>
    </row>
    <row r="2" spans="1:12">
      <c r="A2" s="57"/>
      <c r="B2" s="57"/>
      <c r="C2" s="57"/>
      <c r="D2" s="20"/>
      <c r="E2" s="20"/>
      <c r="F2" s="20"/>
      <c r="G2" s="20"/>
      <c r="H2" s="20"/>
      <c r="I2" s="20"/>
      <c r="J2" s="20"/>
      <c r="K2" s="8"/>
      <c r="L2" s="8"/>
    </row>
    <row r="3" spans="1:12">
      <c r="A3" s="57"/>
      <c r="B3" s="57"/>
      <c r="C3" s="57"/>
      <c r="D3" s="20"/>
      <c r="E3" s="20"/>
      <c r="F3" s="20"/>
      <c r="G3" s="20"/>
      <c r="H3" s="20"/>
      <c r="I3" s="20"/>
      <c r="J3" s="20"/>
      <c r="K3" s="8"/>
      <c r="L3" s="8"/>
    </row>
    <row r="4" spans="1:12" s="56" customFormat="1" ht="18">
      <c r="A4" s="58"/>
      <c r="B4" s="54" t="s">
        <v>1</v>
      </c>
      <c r="C4" s="54"/>
      <c r="D4" s="55"/>
      <c r="E4" s="55"/>
      <c r="F4" s="55"/>
      <c r="G4" s="55"/>
      <c r="H4" s="55"/>
      <c r="I4" s="55"/>
      <c r="J4" s="55"/>
      <c r="K4" s="53"/>
      <c r="L4" s="53"/>
    </row>
    <row r="5" spans="1:12" s="56" customFormat="1" ht="18">
      <c r="A5" s="58"/>
      <c r="B5" s="54" t="s">
        <v>128</v>
      </c>
      <c r="C5" s="54"/>
      <c r="D5" s="55"/>
      <c r="E5" s="55"/>
      <c r="F5" s="55"/>
      <c r="G5" s="55"/>
      <c r="H5" s="55"/>
      <c r="I5" s="55"/>
      <c r="J5" s="55"/>
      <c r="K5" s="53"/>
      <c r="L5" s="53"/>
    </row>
    <row r="6" spans="1:12" s="56" customFormat="1" ht="18">
      <c r="A6" s="58"/>
      <c r="B6" s="54"/>
      <c r="C6" s="54"/>
      <c r="D6" s="55"/>
      <c r="E6" s="55"/>
      <c r="F6" s="55"/>
      <c r="G6" s="55"/>
      <c r="H6" s="55"/>
      <c r="I6" s="55"/>
      <c r="J6" s="55"/>
      <c r="K6" s="53"/>
      <c r="L6" s="53"/>
    </row>
    <row r="7" spans="1:12">
      <c r="A7" s="57"/>
      <c r="B7" s="57"/>
      <c r="C7" s="57"/>
      <c r="D7" s="20"/>
      <c r="E7" s="20"/>
      <c r="F7" s="20"/>
      <c r="G7" s="20"/>
      <c r="H7" s="20"/>
      <c r="I7" s="20"/>
      <c r="J7" s="20"/>
      <c r="K7" s="8"/>
      <c r="L7" s="8"/>
    </row>
    <row r="8" spans="1:12">
      <c r="A8" s="57"/>
      <c r="B8" s="64" t="s">
        <v>90</v>
      </c>
      <c r="C8" s="64" t="s">
        <v>4</v>
      </c>
      <c r="D8" s="65">
        <v>2020</v>
      </c>
      <c r="E8" s="65">
        <f>+D8-1</f>
        <v>2019</v>
      </c>
      <c r="F8" s="65">
        <f>+E8-1</f>
        <v>2018</v>
      </c>
      <c r="G8" s="66">
        <v>2011</v>
      </c>
      <c r="H8" s="66">
        <v>2010</v>
      </c>
      <c r="I8" s="66">
        <v>2009</v>
      </c>
      <c r="J8" s="66" t="s">
        <v>10</v>
      </c>
      <c r="K8" s="8"/>
      <c r="L8" s="8"/>
    </row>
    <row r="9" spans="1:12">
      <c r="A9" s="57"/>
      <c r="B9" s="57"/>
      <c r="C9" s="57"/>
      <c r="D9" s="20"/>
      <c r="E9" s="20"/>
      <c r="F9" s="20"/>
      <c r="G9" s="20"/>
      <c r="H9" s="20"/>
      <c r="I9" s="20"/>
      <c r="J9" s="20"/>
      <c r="K9" s="8"/>
      <c r="L9" s="8"/>
    </row>
    <row r="10" spans="1:12">
      <c r="A10" s="57">
        <v>21</v>
      </c>
      <c r="B10" s="57" t="s">
        <v>11</v>
      </c>
      <c r="C10" s="57" t="s">
        <v>12</v>
      </c>
      <c r="D10" s="20">
        <v>12139.77</v>
      </c>
      <c r="E10" s="20">
        <v>4.63</v>
      </c>
      <c r="F10" s="20">
        <v>0</v>
      </c>
      <c r="G10" s="20">
        <v>0</v>
      </c>
      <c r="H10" s="20">
        <v>0</v>
      </c>
      <c r="I10" s="20">
        <v>0</v>
      </c>
      <c r="J10" s="20">
        <f>SUM(D10:I10)</f>
        <v>12144.4</v>
      </c>
      <c r="K10" s="8"/>
      <c r="L10" s="8"/>
    </row>
    <row r="11" spans="1:12" ht="16.5" thickBot="1">
      <c r="A11" s="57"/>
      <c r="B11" s="57"/>
      <c r="C11" s="57" t="s">
        <v>13</v>
      </c>
      <c r="D11" s="29">
        <v>329.99</v>
      </c>
      <c r="E11" s="29">
        <v>0.08</v>
      </c>
      <c r="F11" s="29">
        <v>0</v>
      </c>
      <c r="G11" s="29">
        <v>0</v>
      </c>
      <c r="H11" s="29">
        <v>0</v>
      </c>
      <c r="I11" s="29">
        <v>0</v>
      </c>
      <c r="J11" s="29">
        <f>SUM(D11:I11)</f>
        <v>330.07</v>
      </c>
      <c r="K11" s="8"/>
      <c r="L11" s="8"/>
    </row>
    <row r="12" spans="1:12">
      <c r="A12" s="57"/>
      <c r="B12" s="57"/>
      <c r="C12" s="57"/>
      <c r="D12" s="20"/>
      <c r="E12" s="20"/>
      <c r="F12" s="20"/>
      <c r="G12" s="20"/>
      <c r="H12" s="20"/>
      <c r="I12" s="20"/>
      <c r="J12" s="20"/>
      <c r="K12" s="8"/>
      <c r="L12" s="8"/>
    </row>
    <row r="13" spans="1:12" ht="16.5" thickBot="1">
      <c r="A13" s="57"/>
      <c r="B13" s="57"/>
      <c r="C13" s="57" t="s">
        <v>10</v>
      </c>
      <c r="D13" s="31">
        <f t="shared" ref="D13:I13" si="0">SUM(D10:D11)</f>
        <v>12469.76</v>
      </c>
      <c r="E13" s="31">
        <f t="shared" si="0"/>
        <v>4.71</v>
      </c>
      <c r="F13" s="31">
        <f t="shared" si="0"/>
        <v>0</v>
      </c>
      <c r="G13" s="31">
        <f t="shared" si="0"/>
        <v>0</v>
      </c>
      <c r="H13" s="31">
        <f t="shared" si="0"/>
        <v>0</v>
      </c>
      <c r="I13" s="31">
        <f t="shared" si="0"/>
        <v>0</v>
      </c>
      <c r="J13" s="31">
        <f>SUM(D13:I13)</f>
        <v>12474.47</v>
      </c>
      <c r="K13" s="8"/>
      <c r="L13" s="8"/>
    </row>
    <row r="14" spans="1:12" ht="16.5" thickTop="1">
      <c r="A14" s="57"/>
      <c r="B14" s="57"/>
      <c r="C14" s="57"/>
      <c r="D14" s="20"/>
      <c r="E14" s="20"/>
      <c r="F14" s="20"/>
      <c r="G14" s="20"/>
      <c r="H14" s="20"/>
      <c r="I14" s="20"/>
      <c r="J14" s="20"/>
      <c r="K14" s="8"/>
      <c r="L14" s="8"/>
    </row>
    <row r="15" spans="1:12">
      <c r="A15" s="57"/>
      <c r="B15" s="57"/>
      <c r="C15" s="57"/>
      <c r="D15" s="20"/>
      <c r="E15" s="20"/>
      <c r="F15" s="20"/>
      <c r="G15" s="20"/>
      <c r="H15" s="20"/>
      <c r="I15" s="20"/>
      <c r="J15" s="20"/>
      <c r="K15" s="8"/>
      <c r="L15" s="8"/>
    </row>
    <row r="16" spans="1:12">
      <c r="A16" s="57">
        <v>22</v>
      </c>
      <c r="B16" s="57" t="s">
        <v>15</v>
      </c>
      <c r="C16" s="57" t="s">
        <v>12</v>
      </c>
      <c r="D16" s="20">
        <v>23394.58</v>
      </c>
      <c r="E16" s="20">
        <v>299.99</v>
      </c>
      <c r="F16" s="20">
        <v>0</v>
      </c>
      <c r="G16" s="20">
        <v>0</v>
      </c>
      <c r="H16" s="20">
        <v>0</v>
      </c>
      <c r="I16" s="20">
        <v>0</v>
      </c>
      <c r="J16" s="20">
        <f>SUM(D16:I16)</f>
        <v>23694.570000000003</v>
      </c>
      <c r="K16" s="8"/>
      <c r="L16" s="8"/>
    </row>
    <row r="17" spans="1:12" ht="16.5" thickBot="1">
      <c r="A17" s="57"/>
      <c r="B17" s="57"/>
      <c r="C17" s="57" t="s">
        <v>13</v>
      </c>
      <c r="D17" s="29">
        <v>633.66</v>
      </c>
      <c r="E17" s="29">
        <v>7.66</v>
      </c>
      <c r="F17" s="29">
        <v>0</v>
      </c>
      <c r="G17" s="29">
        <v>0</v>
      </c>
      <c r="H17" s="29">
        <v>0</v>
      </c>
      <c r="I17" s="29">
        <v>0</v>
      </c>
      <c r="J17" s="29">
        <f>SUM(D17:I17)</f>
        <v>641.31999999999994</v>
      </c>
      <c r="K17" s="8"/>
      <c r="L17" s="8"/>
    </row>
    <row r="18" spans="1:12">
      <c r="A18" s="57"/>
      <c r="B18" s="57"/>
      <c r="C18" s="57"/>
      <c r="D18" s="20"/>
      <c r="E18" s="20"/>
      <c r="F18" s="20"/>
      <c r="G18" s="20"/>
      <c r="H18" s="20"/>
      <c r="I18" s="20"/>
      <c r="J18" s="20"/>
      <c r="K18" s="8"/>
      <c r="L18" s="8"/>
    </row>
    <row r="19" spans="1:12" ht="16.5" thickBot="1">
      <c r="A19" s="57"/>
      <c r="B19" s="57"/>
      <c r="C19" s="57" t="s">
        <v>10</v>
      </c>
      <c r="D19" s="31">
        <f t="shared" ref="D19:I19" si="1">SUM(D16:D17)</f>
        <v>24028.240000000002</v>
      </c>
      <c r="E19" s="31">
        <f t="shared" si="1"/>
        <v>307.65000000000003</v>
      </c>
      <c r="F19" s="31">
        <f t="shared" si="1"/>
        <v>0</v>
      </c>
      <c r="G19" s="31">
        <f t="shared" si="1"/>
        <v>0</v>
      </c>
      <c r="H19" s="31">
        <f t="shared" si="1"/>
        <v>0</v>
      </c>
      <c r="I19" s="31">
        <f t="shared" si="1"/>
        <v>0</v>
      </c>
      <c r="J19" s="31">
        <f>SUM(D19:I19)</f>
        <v>24335.890000000003</v>
      </c>
      <c r="K19" s="8"/>
      <c r="L19" s="8"/>
    </row>
    <row r="20" spans="1:12" ht="16.5" thickTop="1">
      <c r="A20" s="57"/>
      <c r="B20" s="57"/>
      <c r="C20" s="57"/>
      <c r="D20" s="20"/>
      <c r="E20" s="20"/>
      <c r="F20" s="20"/>
      <c r="G20" s="20"/>
      <c r="H20" s="20"/>
      <c r="I20" s="20"/>
      <c r="J20" s="20"/>
      <c r="K20" s="8"/>
      <c r="L20" s="8"/>
    </row>
    <row r="21" spans="1:12">
      <c r="A21" s="57"/>
      <c r="B21" s="57"/>
      <c r="C21" s="57"/>
      <c r="D21" s="20"/>
      <c r="E21" s="20"/>
      <c r="F21" s="20"/>
      <c r="G21" s="20"/>
      <c r="H21" s="20"/>
      <c r="I21" s="20"/>
      <c r="J21" s="20"/>
      <c r="K21" s="8"/>
      <c r="L21" s="8"/>
    </row>
    <row r="22" spans="1:12" ht="16.5" thickBot="1">
      <c r="A22" s="57">
        <v>23</v>
      </c>
      <c r="B22" s="57" t="s">
        <v>16</v>
      </c>
      <c r="C22" s="57" t="s">
        <v>12</v>
      </c>
      <c r="D22" s="29">
        <v>16833.939999999999</v>
      </c>
      <c r="E22" s="50">
        <v>124.99</v>
      </c>
      <c r="F22" s="29">
        <v>0</v>
      </c>
      <c r="G22" s="29">
        <v>0</v>
      </c>
      <c r="H22" s="29">
        <v>0</v>
      </c>
      <c r="I22" s="29">
        <v>0</v>
      </c>
      <c r="J22" s="29">
        <f>SUM(D22:I22)</f>
        <v>16958.93</v>
      </c>
      <c r="K22" s="8"/>
      <c r="L22" s="8"/>
    </row>
    <row r="23" spans="1:12" ht="16.5" hidden="1" thickBot="1">
      <c r="A23" s="57"/>
      <c r="B23" s="57"/>
      <c r="C23" s="57" t="s">
        <v>13</v>
      </c>
      <c r="D23" s="29"/>
      <c r="E23" s="29"/>
      <c r="F23" s="29"/>
      <c r="G23" s="29"/>
      <c r="H23" s="29"/>
      <c r="I23" s="29"/>
      <c r="J23" s="29">
        <f>SUM(D23:I23)</f>
        <v>0</v>
      </c>
      <c r="K23" s="8"/>
      <c r="L23" s="8"/>
    </row>
    <row r="24" spans="1:12">
      <c r="A24" s="57"/>
      <c r="B24" s="57"/>
      <c r="C24" s="57"/>
      <c r="D24" s="20"/>
      <c r="E24" s="20"/>
      <c r="F24" s="20"/>
      <c r="G24" s="20"/>
      <c r="H24" s="20"/>
      <c r="I24" s="20"/>
      <c r="J24" s="20"/>
      <c r="K24" s="8"/>
      <c r="L24" s="8"/>
    </row>
    <row r="25" spans="1:12" ht="16.5" thickBot="1">
      <c r="A25" s="57"/>
      <c r="B25" s="57"/>
      <c r="C25" s="57" t="s">
        <v>10</v>
      </c>
      <c r="D25" s="31">
        <f t="shared" ref="D25:I25" si="2">SUM(D22:D23)</f>
        <v>16833.939999999999</v>
      </c>
      <c r="E25" s="31">
        <f t="shared" si="2"/>
        <v>124.99</v>
      </c>
      <c r="F25" s="31">
        <f t="shared" si="2"/>
        <v>0</v>
      </c>
      <c r="G25" s="31">
        <f t="shared" si="2"/>
        <v>0</v>
      </c>
      <c r="H25" s="31">
        <f t="shared" si="2"/>
        <v>0</v>
      </c>
      <c r="I25" s="31">
        <f t="shared" si="2"/>
        <v>0</v>
      </c>
      <c r="J25" s="31">
        <f>SUM(D25:I25)</f>
        <v>16958.93</v>
      </c>
      <c r="K25" s="8"/>
      <c r="L25" s="8"/>
    </row>
    <row r="26" spans="1:12" ht="16.5" thickTop="1">
      <c r="A26" s="57"/>
      <c r="B26" s="57"/>
      <c r="C26" s="57"/>
      <c r="D26" s="20"/>
      <c r="E26" s="20"/>
      <c r="F26" s="20"/>
      <c r="G26" s="20"/>
      <c r="H26" s="20"/>
      <c r="I26" s="20"/>
      <c r="J26" s="20"/>
      <c r="K26" s="8"/>
      <c r="L26" s="8"/>
    </row>
    <row r="27" spans="1:12">
      <c r="A27" s="57"/>
      <c r="B27" s="57"/>
      <c r="C27" s="57"/>
      <c r="D27" s="20"/>
      <c r="E27" s="20"/>
      <c r="F27" s="20"/>
      <c r="G27" s="20"/>
      <c r="H27" s="20"/>
      <c r="I27" s="20"/>
      <c r="J27" s="20"/>
      <c r="K27" s="8"/>
      <c r="L27" s="8"/>
    </row>
    <row r="28" spans="1:12" ht="16.5" thickBot="1">
      <c r="A28" s="57">
        <v>24</v>
      </c>
      <c r="B28" s="57" t="s">
        <v>17</v>
      </c>
      <c r="C28" s="57" t="s">
        <v>12</v>
      </c>
      <c r="D28" s="29">
        <v>11294.53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f>SUM(D28:I28)</f>
        <v>11294.53</v>
      </c>
      <c r="K28" s="8"/>
      <c r="L28" s="8"/>
    </row>
    <row r="29" spans="1:12">
      <c r="A29" s="57"/>
      <c r="B29" s="57"/>
      <c r="C29" s="57"/>
      <c r="D29" s="20"/>
      <c r="E29" s="20"/>
      <c r="F29" s="20"/>
      <c r="G29" s="20"/>
      <c r="H29" s="20"/>
      <c r="I29" s="20"/>
      <c r="J29" s="20"/>
      <c r="K29" s="8"/>
      <c r="L29" s="8"/>
    </row>
    <row r="30" spans="1:12" ht="16.5" thickBot="1">
      <c r="A30" s="57"/>
      <c r="B30" s="57"/>
      <c r="C30" s="57" t="s">
        <v>10</v>
      </c>
      <c r="D30" s="31">
        <f t="shared" ref="D30:I30" si="3">SUM(D28:D29)</f>
        <v>11294.53</v>
      </c>
      <c r="E30" s="31">
        <f t="shared" si="3"/>
        <v>0</v>
      </c>
      <c r="F30" s="31">
        <f t="shared" si="3"/>
        <v>0</v>
      </c>
      <c r="G30" s="31">
        <f t="shared" si="3"/>
        <v>0</v>
      </c>
      <c r="H30" s="31">
        <f t="shared" si="3"/>
        <v>0</v>
      </c>
      <c r="I30" s="31">
        <f t="shared" si="3"/>
        <v>0</v>
      </c>
      <c r="J30" s="31">
        <f>SUM(D30:I30)</f>
        <v>11294.53</v>
      </c>
      <c r="K30" s="8"/>
      <c r="L30" s="8"/>
    </row>
    <row r="31" spans="1:12" ht="16.5" thickTop="1">
      <c r="A31" s="57"/>
      <c r="B31" s="57"/>
      <c r="C31" s="57"/>
      <c r="D31" s="20"/>
      <c r="E31" s="20"/>
      <c r="F31" s="20"/>
      <c r="G31" s="20"/>
      <c r="H31" s="20"/>
      <c r="I31" s="20"/>
      <c r="J31" s="20"/>
      <c r="K31" s="8"/>
      <c r="L31" s="8"/>
    </row>
    <row r="32" spans="1:12">
      <c r="A32" s="57"/>
      <c r="B32" s="57"/>
      <c r="C32" s="57"/>
      <c r="D32" s="20"/>
      <c r="E32" s="20"/>
      <c r="F32" s="20"/>
      <c r="G32" s="20"/>
      <c r="H32" s="20"/>
      <c r="I32" s="20"/>
      <c r="J32" s="20"/>
      <c r="K32" s="8"/>
      <c r="L32" s="8"/>
    </row>
    <row r="33" spans="1:12" ht="16.5" thickBot="1">
      <c r="A33" s="57">
        <v>25</v>
      </c>
      <c r="B33" s="57" t="s">
        <v>18</v>
      </c>
      <c r="C33" s="57" t="s">
        <v>12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f>SUM(D33:I33)</f>
        <v>0</v>
      </c>
      <c r="K33" s="8"/>
      <c r="L33" s="8"/>
    </row>
    <row r="34" spans="1:12">
      <c r="A34" s="57"/>
      <c r="B34" s="57"/>
      <c r="C34" s="57"/>
      <c r="D34" s="20"/>
      <c r="E34" s="20"/>
      <c r="F34" s="20"/>
      <c r="G34" s="20"/>
      <c r="H34" s="20"/>
      <c r="I34" s="20"/>
      <c r="J34" s="20"/>
      <c r="K34" s="8"/>
      <c r="L34" s="8"/>
    </row>
    <row r="35" spans="1:12" ht="16.5" thickBot="1">
      <c r="A35" s="57"/>
      <c r="B35" s="57"/>
      <c r="C35" s="57" t="s">
        <v>10</v>
      </c>
      <c r="D35" s="31">
        <f t="shared" ref="D35:I35" si="4">SUM(D33:D34)</f>
        <v>0</v>
      </c>
      <c r="E35" s="31">
        <f t="shared" si="4"/>
        <v>0</v>
      </c>
      <c r="F35" s="31">
        <f t="shared" si="4"/>
        <v>0</v>
      </c>
      <c r="G35" s="31">
        <f t="shared" si="4"/>
        <v>0</v>
      </c>
      <c r="H35" s="31">
        <f t="shared" si="4"/>
        <v>0</v>
      </c>
      <c r="I35" s="31">
        <f t="shared" si="4"/>
        <v>0</v>
      </c>
      <c r="J35" s="31">
        <f>SUM(D35:I35)</f>
        <v>0</v>
      </c>
      <c r="K35" s="8"/>
      <c r="L35" s="8"/>
    </row>
    <row r="36" spans="1:12" ht="16.5" thickTop="1">
      <c r="A36" s="57"/>
      <c r="B36" s="57"/>
      <c r="C36" s="57"/>
      <c r="D36" s="20"/>
      <c r="E36" s="20"/>
      <c r="F36" s="20"/>
      <c r="G36" s="20"/>
      <c r="H36" s="20"/>
      <c r="I36" s="20"/>
      <c r="J36" s="20"/>
      <c r="K36" s="8"/>
      <c r="L36" s="8"/>
    </row>
    <row r="37" spans="1:12">
      <c r="A37" s="57"/>
      <c r="B37" s="57"/>
      <c r="C37" s="57"/>
      <c r="D37" s="20"/>
      <c r="E37" s="20"/>
      <c r="F37" s="20"/>
      <c r="G37" s="20"/>
      <c r="H37" s="20"/>
      <c r="I37" s="20"/>
      <c r="J37" s="20"/>
      <c r="K37" s="8"/>
      <c r="L37" s="8"/>
    </row>
    <row r="38" spans="1:12" ht="16.5" thickBot="1">
      <c r="A38" s="57">
        <v>26</v>
      </c>
      <c r="B38" s="57" t="s">
        <v>19</v>
      </c>
      <c r="C38" s="57" t="s">
        <v>12</v>
      </c>
      <c r="D38" s="29">
        <v>17506.21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f>SUM(D38:I38)</f>
        <v>17506.21</v>
      </c>
      <c r="K38" s="8"/>
      <c r="L38" s="8"/>
    </row>
    <row r="39" spans="1:12" ht="16.5" hidden="1" thickBot="1">
      <c r="A39" s="57"/>
      <c r="B39" s="57"/>
      <c r="C39" s="57" t="s">
        <v>13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f>SUM(D39:I39)</f>
        <v>0</v>
      </c>
      <c r="K39" s="8"/>
      <c r="L39" s="8"/>
    </row>
    <row r="40" spans="1:12">
      <c r="A40" s="57"/>
      <c r="B40" s="57"/>
      <c r="C40" s="57"/>
      <c r="D40" s="20"/>
      <c r="E40" s="20"/>
      <c r="F40" s="20"/>
      <c r="G40" s="20"/>
      <c r="H40" s="20"/>
      <c r="I40" s="20"/>
      <c r="J40" s="20"/>
      <c r="K40" s="8"/>
      <c r="L40" s="8"/>
    </row>
    <row r="41" spans="1:12" ht="16.5" thickBot="1">
      <c r="A41" s="57"/>
      <c r="B41" s="57"/>
      <c r="C41" s="57" t="s">
        <v>10</v>
      </c>
      <c r="D41" s="31">
        <f t="shared" ref="D41:I41" si="5">SUM(D38:D39)</f>
        <v>17506.21</v>
      </c>
      <c r="E41" s="31">
        <f t="shared" si="5"/>
        <v>0</v>
      </c>
      <c r="F41" s="31">
        <f t="shared" si="5"/>
        <v>0</v>
      </c>
      <c r="G41" s="31">
        <f t="shared" si="5"/>
        <v>0</v>
      </c>
      <c r="H41" s="31">
        <f t="shared" si="5"/>
        <v>0</v>
      </c>
      <c r="I41" s="31">
        <f t="shared" si="5"/>
        <v>0</v>
      </c>
      <c r="J41" s="31">
        <f>SUM(D41:I41)</f>
        <v>17506.21</v>
      </c>
      <c r="K41" s="8"/>
      <c r="L41" s="8"/>
    </row>
    <row r="42" spans="1:12" ht="16.5" thickTop="1">
      <c r="A42" s="57"/>
      <c r="B42" s="57"/>
      <c r="C42" s="57"/>
      <c r="D42" s="20"/>
      <c r="E42" s="20"/>
      <c r="F42" s="20"/>
      <c r="G42" s="20"/>
      <c r="H42" s="20"/>
      <c r="I42" s="20"/>
      <c r="J42" s="20"/>
      <c r="K42" s="8"/>
      <c r="L42" s="8"/>
    </row>
    <row r="43" spans="1:12">
      <c r="A43" s="57"/>
      <c r="B43" s="57"/>
      <c r="C43" s="57"/>
      <c r="D43" s="20"/>
      <c r="E43" s="20"/>
      <c r="F43" s="20"/>
      <c r="G43" s="20"/>
      <c r="H43" s="20"/>
      <c r="I43" s="20"/>
      <c r="J43" s="20"/>
      <c r="K43" s="8"/>
      <c r="L43" s="8"/>
    </row>
    <row r="44" spans="1:12" ht="16.5" thickBot="1">
      <c r="A44" s="57">
        <v>27</v>
      </c>
      <c r="B44" s="57" t="s">
        <v>20</v>
      </c>
      <c r="C44" s="57" t="s">
        <v>12</v>
      </c>
      <c r="D44" s="29">
        <v>21113.61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f>SUM(D44:I44)</f>
        <v>21113.61</v>
      </c>
      <c r="K44" s="8"/>
      <c r="L44" s="8"/>
    </row>
    <row r="45" spans="1:12">
      <c r="A45" s="57"/>
      <c r="B45" s="57"/>
      <c r="C45" s="57"/>
      <c r="D45" s="20"/>
      <c r="E45" s="20"/>
      <c r="F45" s="20"/>
      <c r="G45" s="20"/>
      <c r="H45" s="20"/>
      <c r="I45" s="20"/>
      <c r="J45" s="20"/>
      <c r="K45" s="8"/>
      <c r="L45" s="8"/>
    </row>
    <row r="46" spans="1:12" ht="16.5" thickBot="1">
      <c r="A46" s="57"/>
      <c r="B46" s="57"/>
      <c r="C46" s="57" t="s">
        <v>10</v>
      </c>
      <c r="D46" s="31">
        <f t="shared" ref="D46:I46" si="6">SUM(D44:D45)</f>
        <v>21113.61</v>
      </c>
      <c r="E46" s="31">
        <f t="shared" si="6"/>
        <v>0</v>
      </c>
      <c r="F46" s="31">
        <f t="shared" si="6"/>
        <v>0</v>
      </c>
      <c r="G46" s="31">
        <f t="shared" si="6"/>
        <v>0</v>
      </c>
      <c r="H46" s="31">
        <f t="shared" si="6"/>
        <v>0</v>
      </c>
      <c r="I46" s="31">
        <f t="shared" si="6"/>
        <v>0</v>
      </c>
      <c r="J46" s="31">
        <f>SUM(D46:I46)</f>
        <v>21113.61</v>
      </c>
      <c r="K46" s="8"/>
      <c r="L46" s="8"/>
    </row>
    <row r="47" spans="1:12" ht="16.5" thickTop="1">
      <c r="A47" s="57"/>
      <c r="B47" s="57"/>
      <c r="C47" s="57"/>
      <c r="D47" s="20"/>
      <c r="E47" s="20"/>
      <c r="F47" s="20"/>
      <c r="G47" s="20"/>
      <c r="H47" s="20"/>
      <c r="I47" s="20"/>
      <c r="J47" s="20"/>
      <c r="K47" s="8"/>
      <c r="L47" s="8"/>
    </row>
    <row r="48" spans="1:12">
      <c r="A48" s="57"/>
      <c r="B48" s="57"/>
      <c r="C48" s="57"/>
      <c r="D48" s="20"/>
      <c r="E48" s="20"/>
      <c r="F48" s="20"/>
      <c r="G48" s="20"/>
      <c r="H48" s="20"/>
      <c r="I48" s="20"/>
      <c r="J48" s="20"/>
      <c r="K48" s="8"/>
      <c r="L48" s="8"/>
    </row>
    <row r="49" spans="1:12" ht="16.5" thickTop="1">
      <c r="A49" s="57"/>
      <c r="B49" s="57"/>
      <c r="C49" s="57"/>
      <c r="D49" s="20"/>
      <c r="E49" s="20"/>
      <c r="F49" s="20"/>
      <c r="G49" s="20"/>
      <c r="H49" s="20"/>
      <c r="I49" s="20"/>
      <c r="J49" s="20"/>
      <c r="K49" s="8"/>
      <c r="L49" s="8"/>
    </row>
    <row r="50" spans="1:12">
      <c r="A50" s="57"/>
      <c r="B50" s="57"/>
      <c r="C50" s="57"/>
      <c r="D50" s="20"/>
      <c r="E50" s="20"/>
      <c r="F50" s="20"/>
      <c r="G50" s="20"/>
      <c r="H50" s="20"/>
      <c r="I50" s="20"/>
      <c r="J50" s="20"/>
      <c r="K50" s="8"/>
      <c r="L50" s="8"/>
    </row>
    <row r="51" spans="1:12" ht="16.5" thickBot="1">
      <c r="A51" s="57">
        <v>28</v>
      </c>
      <c r="B51" s="57" t="s">
        <v>21</v>
      </c>
      <c r="C51" s="57" t="s">
        <v>12</v>
      </c>
      <c r="D51" s="29">
        <v>25006</v>
      </c>
      <c r="E51" s="29">
        <v>1188.01</v>
      </c>
      <c r="F51" s="29">
        <v>4.7300000000000004</v>
      </c>
      <c r="G51" s="29">
        <v>0</v>
      </c>
      <c r="H51" s="29">
        <v>0</v>
      </c>
      <c r="I51" s="29">
        <v>0</v>
      </c>
      <c r="J51" s="29">
        <f>SUM(D51:I51)</f>
        <v>26198.739999999998</v>
      </c>
      <c r="K51" s="8"/>
      <c r="L51" s="8"/>
    </row>
    <row r="52" spans="1:12" ht="16.5" hidden="1" thickBot="1">
      <c r="A52" s="57"/>
      <c r="B52" s="57"/>
      <c r="C52" s="57" t="s">
        <v>13</v>
      </c>
      <c r="D52" s="29"/>
      <c r="E52" s="29"/>
      <c r="F52" s="29"/>
      <c r="G52" s="29"/>
      <c r="H52" s="29"/>
      <c r="I52" s="29"/>
      <c r="J52" s="29">
        <f>SUM(D52:I52)</f>
        <v>0</v>
      </c>
      <c r="K52" s="8"/>
      <c r="L52" s="8"/>
    </row>
    <row r="53" spans="1:12">
      <c r="A53" s="57"/>
      <c r="B53" s="57"/>
      <c r="C53" s="57"/>
      <c r="D53" s="20"/>
      <c r="E53" s="20"/>
      <c r="F53" s="20"/>
      <c r="G53" s="20"/>
      <c r="H53" s="20"/>
      <c r="I53" s="20"/>
      <c r="J53" s="20"/>
      <c r="K53" s="8"/>
      <c r="L53" s="8"/>
    </row>
    <row r="54" spans="1:12" ht="16.5" thickBot="1">
      <c r="A54" s="57"/>
      <c r="B54" s="57"/>
      <c r="C54" s="57" t="s">
        <v>10</v>
      </c>
      <c r="D54" s="31">
        <f t="shared" ref="D54:I54" si="7">SUM(D51:D52)</f>
        <v>25006</v>
      </c>
      <c r="E54" s="31">
        <f t="shared" si="7"/>
        <v>1188.01</v>
      </c>
      <c r="F54" s="31">
        <f t="shared" si="7"/>
        <v>4.7300000000000004</v>
      </c>
      <c r="G54" s="31">
        <f t="shared" si="7"/>
        <v>0</v>
      </c>
      <c r="H54" s="31">
        <f t="shared" si="7"/>
        <v>0</v>
      </c>
      <c r="I54" s="31">
        <f t="shared" si="7"/>
        <v>0</v>
      </c>
      <c r="J54" s="31">
        <f>SUM(D54:I54)</f>
        <v>26198.739999999998</v>
      </c>
      <c r="K54" s="8"/>
      <c r="L54" s="8"/>
    </row>
    <row r="55" spans="1:12" ht="16.5" thickTop="1">
      <c r="A55" s="57"/>
      <c r="B55" s="57"/>
      <c r="C55" s="57"/>
      <c r="D55" s="20"/>
      <c r="E55" s="20"/>
      <c r="F55" s="20"/>
      <c r="G55" s="20"/>
      <c r="H55" s="20"/>
      <c r="I55" s="20"/>
      <c r="J55" s="20"/>
      <c r="K55" s="8"/>
      <c r="L55" s="8"/>
    </row>
    <row r="56" spans="1:12">
      <c r="A56" s="57"/>
      <c r="B56" s="57"/>
      <c r="C56" s="57"/>
      <c r="D56" s="20"/>
      <c r="E56" s="20"/>
      <c r="F56" s="20"/>
      <c r="G56" s="20"/>
      <c r="H56" s="20"/>
      <c r="I56" s="20"/>
      <c r="J56" s="20"/>
      <c r="K56" s="8"/>
      <c r="L56" s="8"/>
    </row>
    <row r="57" spans="1:12">
      <c r="A57" s="57">
        <v>29</v>
      </c>
      <c r="B57" s="57" t="s">
        <v>22</v>
      </c>
      <c r="C57" s="57" t="s">
        <v>12</v>
      </c>
      <c r="D57" s="20">
        <v>79916.77</v>
      </c>
      <c r="E57" s="20">
        <v>103.8</v>
      </c>
      <c r="F57" s="20">
        <v>0</v>
      </c>
      <c r="G57" s="20">
        <v>0</v>
      </c>
      <c r="H57" s="20">
        <v>0</v>
      </c>
      <c r="I57" s="20">
        <v>0</v>
      </c>
      <c r="J57" s="20">
        <f>SUM(D57:I57)</f>
        <v>80020.570000000007</v>
      </c>
      <c r="K57" s="8"/>
      <c r="L57" s="8"/>
    </row>
    <row r="58" spans="1:12" hidden="1">
      <c r="A58" s="57"/>
      <c r="B58" s="57"/>
      <c r="C58" s="57" t="s">
        <v>35</v>
      </c>
      <c r="D58" s="20"/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f>SUM(D58:I58)</f>
        <v>0</v>
      </c>
      <c r="K58" s="8"/>
      <c r="L58" s="8"/>
    </row>
    <row r="59" spans="1:12">
      <c r="A59" s="57"/>
      <c r="B59" s="57"/>
      <c r="C59" s="57" t="s">
        <v>13</v>
      </c>
      <c r="D59" s="20">
        <v>2313.15</v>
      </c>
      <c r="E59" s="20">
        <v>1.34</v>
      </c>
      <c r="F59" s="20">
        <v>0</v>
      </c>
      <c r="G59" s="20">
        <v>0</v>
      </c>
      <c r="H59" s="20">
        <v>0</v>
      </c>
      <c r="I59" s="20">
        <v>0</v>
      </c>
      <c r="J59" s="20">
        <f>SUM(D59:I59)</f>
        <v>2314.4900000000002</v>
      </c>
      <c r="K59" s="8"/>
      <c r="L59" s="8"/>
    </row>
    <row r="60" spans="1:12" hidden="1">
      <c r="A60" s="57"/>
      <c r="B60" s="57"/>
      <c r="C60" s="57" t="s">
        <v>78</v>
      </c>
      <c r="D60" s="20"/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f>SUM(D60:I60)</f>
        <v>0</v>
      </c>
      <c r="K60" s="8"/>
      <c r="L60" s="8"/>
    </row>
    <row r="61" spans="1:12" ht="16.5" hidden="1" thickBot="1">
      <c r="A61" s="57"/>
      <c r="B61" s="57"/>
      <c r="C61" s="57" t="s">
        <v>114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f>SUM(D61:I61)</f>
        <v>0</v>
      </c>
      <c r="K61" s="8"/>
      <c r="L61" s="8"/>
    </row>
    <row r="62" spans="1:12">
      <c r="A62" s="57"/>
      <c r="B62" s="57"/>
      <c r="C62" s="57"/>
      <c r="D62" s="20"/>
      <c r="E62" s="20"/>
      <c r="F62" s="20"/>
      <c r="G62" s="20"/>
      <c r="H62" s="20"/>
      <c r="I62" s="20"/>
      <c r="J62" s="20"/>
      <c r="K62" s="8"/>
      <c r="L62" s="8"/>
    </row>
    <row r="63" spans="1:12" ht="16.5" thickBot="1">
      <c r="A63" s="57"/>
      <c r="B63" s="57"/>
      <c r="C63" s="57" t="s">
        <v>10</v>
      </c>
      <c r="D63" s="31">
        <f t="shared" ref="D63:I63" si="8">SUM(D57:D61)</f>
        <v>82229.919999999998</v>
      </c>
      <c r="E63" s="31">
        <f t="shared" si="8"/>
        <v>105.14</v>
      </c>
      <c r="F63" s="31">
        <f t="shared" si="8"/>
        <v>0</v>
      </c>
      <c r="G63" s="31">
        <f t="shared" si="8"/>
        <v>0</v>
      </c>
      <c r="H63" s="31">
        <f t="shared" si="8"/>
        <v>0</v>
      </c>
      <c r="I63" s="31">
        <f t="shared" si="8"/>
        <v>0</v>
      </c>
      <c r="J63" s="31">
        <f>SUM(D63:I63)</f>
        <v>82335.06</v>
      </c>
      <c r="K63" s="8"/>
      <c r="L63" s="8"/>
    </row>
    <row r="64" spans="1:12" ht="16.5" thickTop="1">
      <c r="A64" s="57"/>
      <c r="B64" s="57"/>
      <c r="C64" s="57"/>
      <c r="D64" s="20"/>
      <c r="E64" s="20"/>
      <c r="F64" s="20"/>
      <c r="G64" s="20"/>
      <c r="H64" s="20"/>
      <c r="I64" s="20"/>
      <c r="J64" s="20"/>
      <c r="K64" s="8"/>
      <c r="L64" s="8"/>
    </row>
    <row r="65" spans="1:12">
      <c r="A65" s="57"/>
      <c r="B65" s="57"/>
      <c r="C65" s="57"/>
      <c r="D65" s="20"/>
      <c r="E65" s="20"/>
      <c r="F65" s="20"/>
      <c r="G65" s="20"/>
      <c r="H65" s="20"/>
      <c r="I65" s="20"/>
      <c r="J65" s="20"/>
      <c r="K65" s="8"/>
      <c r="L65" s="8"/>
    </row>
    <row r="66" spans="1:12">
      <c r="A66" s="57">
        <v>30</v>
      </c>
      <c r="B66" s="57" t="s">
        <v>23</v>
      </c>
      <c r="C66" s="57" t="s">
        <v>12</v>
      </c>
      <c r="D66" s="20">
        <v>11006.01</v>
      </c>
      <c r="E66" s="20">
        <v>31.26</v>
      </c>
      <c r="F66" s="20">
        <v>0</v>
      </c>
      <c r="G66" s="20">
        <v>0</v>
      </c>
      <c r="H66" s="20">
        <v>0</v>
      </c>
      <c r="I66" s="20">
        <v>0</v>
      </c>
      <c r="J66" s="20">
        <f>SUM(D66:I66)</f>
        <v>11037.27</v>
      </c>
      <c r="K66" s="8"/>
      <c r="L66" s="8"/>
    </row>
    <row r="67" spans="1:12" ht="16.5" thickBot="1">
      <c r="A67" s="57"/>
      <c r="B67" s="57"/>
      <c r="C67" s="57" t="s">
        <v>116</v>
      </c>
      <c r="D67" s="29">
        <v>11437.94</v>
      </c>
      <c r="E67" s="29">
        <v>46.74</v>
      </c>
      <c r="F67" s="29">
        <v>0</v>
      </c>
      <c r="G67" s="29">
        <v>0</v>
      </c>
      <c r="H67" s="29">
        <v>0</v>
      </c>
      <c r="I67" s="29">
        <v>0</v>
      </c>
      <c r="J67" s="29">
        <f>SUM(D67:I67)</f>
        <v>11484.68</v>
      </c>
      <c r="K67" s="8"/>
      <c r="L67" s="8"/>
    </row>
    <row r="68" spans="1:12">
      <c r="A68" s="57"/>
      <c r="B68" s="57"/>
      <c r="C68" s="57"/>
      <c r="D68" s="20"/>
      <c r="E68" s="20"/>
      <c r="F68" s="20"/>
      <c r="G68" s="20"/>
      <c r="H68" s="20"/>
      <c r="I68" s="20"/>
      <c r="J68" s="20"/>
      <c r="K68" s="8"/>
      <c r="L68" s="8"/>
    </row>
    <row r="69" spans="1:12" ht="16.5" thickBot="1">
      <c r="A69" s="57"/>
      <c r="B69" s="57"/>
      <c r="C69" s="61" t="s">
        <v>10</v>
      </c>
      <c r="D69" s="31">
        <f t="shared" ref="D69:I69" si="9">SUM(D66:D67)</f>
        <v>22443.95</v>
      </c>
      <c r="E69" s="31">
        <f t="shared" si="9"/>
        <v>78</v>
      </c>
      <c r="F69" s="31">
        <f t="shared" si="9"/>
        <v>0</v>
      </c>
      <c r="G69" s="31">
        <f t="shared" si="9"/>
        <v>0</v>
      </c>
      <c r="H69" s="31">
        <f t="shared" si="9"/>
        <v>0</v>
      </c>
      <c r="I69" s="31">
        <f t="shared" si="9"/>
        <v>0</v>
      </c>
      <c r="J69" s="31">
        <f>SUM(D69:I69)</f>
        <v>22521.95</v>
      </c>
      <c r="K69" s="8"/>
      <c r="L69" s="8"/>
    </row>
    <row r="70" spans="1:12" ht="16.5" thickTop="1">
      <c r="A70" s="57"/>
      <c r="B70" s="57"/>
      <c r="C70" s="57"/>
      <c r="D70" s="20"/>
      <c r="E70" s="20"/>
      <c r="F70" s="20"/>
      <c r="G70" s="20"/>
      <c r="H70" s="20"/>
      <c r="I70" s="20"/>
      <c r="J70" s="20"/>
      <c r="K70" s="8"/>
      <c r="L70" s="8"/>
    </row>
    <row r="71" spans="1:12">
      <c r="A71" s="57"/>
      <c r="B71" s="57"/>
      <c r="C71" s="57"/>
      <c r="D71" s="20"/>
      <c r="E71" s="20"/>
      <c r="F71" s="20"/>
      <c r="G71" s="20"/>
      <c r="H71" s="20"/>
      <c r="I71" s="20"/>
      <c r="J71" s="20"/>
      <c r="K71" s="8"/>
      <c r="L71" s="8"/>
    </row>
    <row r="72" spans="1:12">
      <c r="A72" s="57">
        <v>31</v>
      </c>
      <c r="B72" s="57" t="s">
        <v>24</v>
      </c>
      <c r="C72" s="57" t="s">
        <v>12</v>
      </c>
      <c r="D72" s="20">
        <v>11308.52</v>
      </c>
      <c r="E72" s="20">
        <v>388.84</v>
      </c>
      <c r="F72" s="20">
        <v>436.45</v>
      </c>
      <c r="G72" s="20">
        <v>0</v>
      </c>
      <c r="H72" s="20">
        <v>0</v>
      </c>
      <c r="I72" s="20">
        <v>0</v>
      </c>
      <c r="J72" s="20">
        <f>SUM(D72:I72)</f>
        <v>12133.810000000001</v>
      </c>
      <c r="K72" s="8"/>
      <c r="L72" s="8"/>
    </row>
    <row r="73" spans="1:12" ht="16.5" thickBot="1">
      <c r="A73" s="57"/>
      <c r="B73" s="57"/>
      <c r="C73" s="57" t="s">
        <v>13</v>
      </c>
      <c r="D73" s="29">
        <v>1369.59</v>
      </c>
      <c r="E73" s="29">
        <v>46.6</v>
      </c>
      <c r="F73" s="29">
        <v>5.52</v>
      </c>
      <c r="G73" s="29">
        <v>0</v>
      </c>
      <c r="H73" s="29">
        <v>0</v>
      </c>
      <c r="I73" s="29">
        <v>0</v>
      </c>
      <c r="J73" s="29">
        <f>SUM(D73:I73)</f>
        <v>1421.7099999999998</v>
      </c>
      <c r="K73" s="8"/>
      <c r="L73" s="8"/>
    </row>
    <row r="74" spans="1:12">
      <c r="A74" s="57"/>
      <c r="B74" s="57"/>
      <c r="C74" s="57"/>
      <c r="D74" s="20"/>
      <c r="E74" s="20"/>
      <c r="F74" s="20"/>
      <c r="G74" s="20"/>
      <c r="H74" s="20"/>
      <c r="I74" s="20"/>
      <c r="J74" s="20"/>
      <c r="K74" s="8"/>
      <c r="L74" s="8"/>
    </row>
    <row r="75" spans="1:12" ht="16.5" thickBot="1">
      <c r="A75" s="57"/>
      <c r="B75" s="57"/>
      <c r="C75" s="57" t="s">
        <v>10</v>
      </c>
      <c r="D75" s="31">
        <f t="shared" ref="D75:I75" si="10">SUM(D72:D73)</f>
        <v>12678.11</v>
      </c>
      <c r="E75" s="31">
        <f t="shared" si="10"/>
        <v>435.44</v>
      </c>
      <c r="F75" s="31">
        <f t="shared" si="10"/>
        <v>441.96999999999997</v>
      </c>
      <c r="G75" s="31">
        <f t="shared" si="10"/>
        <v>0</v>
      </c>
      <c r="H75" s="31">
        <f t="shared" si="10"/>
        <v>0</v>
      </c>
      <c r="I75" s="31">
        <f t="shared" si="10"/>
        <v>0</v>
      </c>
      <c r="J75" s="31">
        <f>SUM(D75:I75)</f>
        <v>13555.52</v>
      </c>
      <c r="K75" s="8"/>
      <c r="L75" s="8"/>
    </row>
    <row r="76" spans="1:12" ht="16.5" thickTop="1">
      <c r="A76" s="57"/>
      <c r="B76" s="57"/>
      <c r="C76" s="57"/>
      <c r="D76" s="20"/>
      <c r="E76" s="20"/>
      <c r="F76" s="20"/>
      <c r="G76" s="20"/>
      <c r="H76" s="20"/>
      <c r="I76" s="20"/>
      <c r="J76" s="20"/>
      <c r="K76" s="8"/>
      <c r="L76" s="8"/>
    </row>
    <row r="77" spans="1:12">
      <c r="A77" s="57"/>
      <c r="B77" s="57"/>
      <c r="C77" s="57"/>
      <c r="D77" s="20"/>
      <c r="E77" s="20"/>
      <c r="F77" s="20"/>
      <c r="G77" s="20"/>
      <c r="H77" s="20"/>
      <c r="I77" s="20"/>
      <c r="J77" s="20"/>
      <c r="K77" s="8"/>
      <c r="L77" s="8"/>
    </row>
    <row r="78" spans="1:12">
      <c r="A78" s="57">
        <v>32</v>
      </c>
      <c r="B78" s="57" t="s">
        <v>25</v>
      </c>
      <c r="C78" s="57" t="s">
        <v>12</v>
      </c>
      <c r="D78" s="20">
        <v>22285.53</v>
      </c>
      <c r="E78" s="20">
        <v>91.62</v>
      </c>
      <c r="F78" s="20">
        <v>0</v>
      </c>
      <c r="G78" s="20">
        <v>0</v>
      </c>
      <c r="H78" s="20">
        <v>0</v>
      </c>
      <c r="I78" s="20">
        <v>0</v>
      </c>
      <c r="J78" s="20">
        <f>SUM(D78:I78)</f>
        <v>22377.149999999998</v>
      </c>
      <c r="K78" s="8"/>
      <c r="L78" s="8"/>
    </row>
    <row r="79" spans="1:12" ht="16.5" thickBot="1">
      <c r="A79" s="57"/>
      <c r="B79" s="57"/>
      <c r="C79" s="57" t="s">
        <v>13</v>
      </c>
      <c r="D79" s="29">
        <v>408.57</v>
      </c>
      <c r="E79" s="29">
        <v>1.68</v>
      </c>
      <c r="F79" s="29">
        <v>0</v>
      </c>
      <c r="G79" s="29">
        <v>0</v>
      </c>
      <c r="H79" s="29">
        <v>0</v>
      </c>
      <c r="I79" s="29">
        <v>0</v>
      </c>
      <c r="J79" s="29">
        <f>SUM(D79:I79)</f>
        <v>410.25</v>
      </c>
      <c r="K79" s="8"/>
      <c r="L79" s="8"/>
    </row>
    <row r="80" spans="1:12" hidden="1">
      <c r="A80" s="57"/>
      <c r="B80" s="57"/>
      <c r="C80" s="57" t="s">
        <v>73</v>
      </c>
      <c r="D80" s="20"/>
      <c r="E80" s="20"/>
      <c r="F80" s="20"/>
      <c r="G80" s="20"/>
      <c r="H80" s="20"/>
      <c r="I80" s="20"/>
      <c r="J80" s="20">
        <f>SUM(D80:I80)</f>
        <v>0</v>
      </c>
      <c r="K80" s="8"/>
      <c r="L80" s="8"/>
    </row>
    <row r="81" spans="1:12" ht="16.5" hidden="1" thickBot="1">
      <c r="A81" s="57"/>
      <c r="B81" s="57"/>
      <c r="C81" s="57" t="s">
        <v>78</v>
      </c>
      <c r="D81" s="29"/>
      <c r="E81" s="29"/>
      <c r="F81" s="29"/>
      <c r="G81" s="29"/>
      <c r="H81" s="29"/>
      <c r="I81" s="29"/>
      <c r="J81" s="29">
        <f>SUM(D81:I81)</f>
        <v>0</v>
      </c>
      <c r="K81" s="8"/>
      <c r="L81" s="8"/>
    </row>
    <row r="82" spans="1:12">
      <c r="A82" s="57"/>
      <c r="B82" s="57"/>
      <c r="C82" s="57"/>
      <c r="D82" s="20"/>
      <c r="E82" s="20"/>
      <c r="F82" s="20"/>
      <c r="G82" s="20"/>
      <c r="H82" s="20"/>
      <c r="I82" s="20"/>
      <c r="J82" s="20"/>
      <c r="K82" s="8"/>
      <c r="L82" s="8"/>
    </row>
    <row r="83" spans="1:12" ht="16.5" thickBot="1">
      <c r="A83" s="57"/>
      <c r="B83" s="57"/>
      <c r="C83" s="57" t="s">
        <v>10</v>
      </c>
      <c r="D83" s="31">
        <f t="shared" ref="D83:I83" si="11">SUM(D78:D81)</f>
        <v>22694.1</v>
      </c>
      <c r="E83" s="31">
        <f t="shared" si="11"/>
        <v>93.300000000000011</v>
      </c>
      <c r="F83" s="31">
        <f t="shared" si="11"/>
        <v>0</v>
      </c>
      <c r="G83" s="31">
        <f t="shared" si="11"/>
        <v>0</v>
      </c>
      <c r="H83" s="31">
        <f t="shared" si="11"/>
        <v>0</v>
      </c>
      <c r="I83" s="31">
        <f t="shared" si="11"/>
        <v>0</v>
      </c>
      <c r="J83" s="31">
        <f>SUM(D83:I83)</f>
        <v>22787.399999999998</v>
      </c>
      <c r="K83" s="8"/>
      <c r="L83" s="8"/>
    </row>
    <row r="84" spans="1:12" ht="16.5" thickTop="1">
      <c r="A84" s="57"/>
      <c r="B84" s="57"/>
      <c r="C84" s="57"/>
      <c r="D84" s="20"/>
      <c r="E84" s="20"/>
      <c r="F84" s="20"/>
      <c r="G84" s="20"/>
      <c r="H84" s="20"/>
      <c r="I84" s="20"/>
      <c r="J84" s="20"/>
      <c r="K84" s="8"/>
      <c r="L84" s="8"/>
    </row>
    <row r="85" spans="1:12">
      <c r="A85" s="57"/>
      <c r="B85" s="57"/>
      <c r="C85" s="57"/>
      <c r="D85" s="20"/>
      <c r="E85" s="20"/>
      <c r="F85" s="20"/>
      <c r="G85" s="20"/>
      <c r="H85" s="20"/>
      <c r="I85" s="20"/>
      <c r="J85" s="20"/>
      <c r="K85" s="8"/>
      <c r="L85" s="8"/>
    </row>
    <row r="86" spans="1:12">
      <c r="A86" s="57">
        <v>33</v>
      </c>
      <c r="B86" s="57" t="s">
        <v>26</v>
      </c>
      <c r="C86" s="57" t="s">
        <v>12</v>
      </c>
      <c r="D86" s="20">
        <v>25697.599999999999</v>
      </c>
      <c r="E86" s="20">
        <v>1189.71</v>
      </c>
      <c r="F86" s="20">
        <v>116.08</v>
      </c>
      <c r="G86" s="20">
        <v>0</v>
      </c>
      <c r="H86" s="20">
        <v>0</v>
      </c>
      <c r="I86" s="20">
        <v>0</v>
      </c>
      <c r="J86" s="20">
        <f>SUM(D86:I86)</f>
        <v>27003.39</v>
      </c>
      <c r="K86" s="8"/>
      <c r="L86" s="8"/>
    </row>
    <row r="87" spans="1:12" ht="16.5" thickBot="1">
      <c r="A87" s="57"/>
      <c r="B87" s="57"/>
      <c r="C87" s="57" t="s">
        <v>13</v>
      </c>
      <c r="D87" s="29">
        <v>1697.19</v>
      </c>
      <c r="E87" s="29">
        <v>83.25</v>
      </c>
      <c r="F87" s="29">
        <v>2.0299999999999998</v>
      </c>
      <c r="G87" s="29">
        <v>0</v>
      </c>
      <c r="H87" s="29">
        <v>0</v>
      </c>
      <c r="I87" s="29">
        <v>0</v>
      </c>
      <c r="J87" s="29">
        <f>SUM(D87:I87)</f>
        <v>1782.47</v>
      </c>
      <c r="K87" s="8"/>
      <c r="L87" s="8"/>
    </row>
    <row r="88" spans="1:12">
      <c r="A88" s="57"/>
      <c r="B88" s="57"/>
      <c r="C88" s="57"/>
      <c r="D88" s="20"/>
      <c r="E88" s="20"/>
      <c r="F88" s="20"/>
      <c r="G88" s="20"/>
      <c r="H88" s="20"/>
      <c r="I88" s="20"/>
      <c r="J88" s="20"/>
      <c r="K88" s="8"/>
      <c r="L88" s="8"/>
    </row>
    <row r="89" spans="1:12" ht="16.5" thickBot="1">
      <c r="A89" s="57"/>
      <c r="B89" s="57"/>
      <c r="C89" s="57" t="s">
        <v>10</v>
      </c>
      <c r="D89" s="31">
        <f t="shared" ref="D89:I89" si="12">SUM(D86:D87)</f>
        <v>27394.789999999997</v>
      </c>
      <c r="E89" s="31">
        <f t="shared" si="12"/>
        <v>1272.96</v>
      </c>
      <c r="F89" s="31">
        <f t="shared" si="12"/>
        <v>118.11</v>
      </c>
      <c r="G89" s="31">
        <f t="shared" si="12"/>
        <v>0</v>
      </c>
      <c r="H89" s="31">
        <f t="shared" si="12"/>
        <v>0</v>
      </c>
      <c r="I89" s="31">
        <f t="shared" si="12"/>
        <v>0</v>
      </c>
      <c r="J89" s="31">
        <f>SUM(D89:I89)</f>
        <v>28785.859999999997</v>
      </c>
      <c r="K89" s="8"/>
      <c r="L89" s="8"/>
    </row>
    <row r="90" spans="1:12" ht="16.5" thickTop="1">
      <c r="A90" s="57"/>
      <c r="B90" s="57"/>
      <c r="C90" s="57"/>
      <c r="D90" s="20"/>
      <c r="E90" s="20"/>
      <c r="F90" s="20"/>
      <c r="G90" s="20"/>
      <c r="H90" s="20"/>
      <c r="I90" s="20"/>
      <c r="J90" s="20"/>
      <c r="K90" s="8"/>
      <c r="L90" s="8"/>
    </row>
    <row r="91" spans="1:12">
      <c r="A91" s="57"/>
      <c r="B91" s="57"/>
      <c r="C91" s="57"/>
      <c r="D91" s="20"/>
      <c r="E91" s="20"/>
      <c r="F91" s="20"/>
      <c r="G91" s="20"/>
      <c r="H91" s="20"/>
      <c r="I91" s="20"/>
      <c r="J91" s="20"/>
      <c r="K91" s="8"/>
      <c r="L91" s="8"/>
    </row>
    <row r="92" spans="1:12">
      <c r="A92" s="57">
        <v>34</v>
      </c>
      <c r="B92" s="57" t="s">
        <v>27</v>
      </c>
      <c r="C92" s="57" t="s">
        <v>12</v>
      </c>
      <c r="D92" s="20">
        <v>28394.98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f>SUM(D92:I92)</f>
        <v>28394.98</v>
      </c>
      <c r="K92" s="8"/>
      <c r="L92" s="8"/>
    </row>
    <row r="93" spans="1:12" hidden="1">
      <c r="A93" s="57"/>
      <c r="B93" s="57"/>
      <c r="C93" s="57" t="s">
        <v>35</v>
      </c>
      <c r="D93" s="20"/>
      <c r="E93" s="20"/>
      <c r="F93" s="20"/>
      <c r="G93" s="20">
        <v>0</v>
      </c>
      <c r="H93" s="20">
        <v>0</v>
      </c>
      <c r="I93" s="20">
        <v>0</v>
      </c>
      <c r="J93" s="20">
        <f>SUM(D93:I93)</f>
        <v>0</v>
      </c>
      <c r="K93" s="8"/>
      <c r="L93" s="8"/>
    </row>
    <row r="94" spans="1:12" hidden="1">
      <c r="A94" s="57"/>
      <c r="B94" s="57"/>
      <c r="C94" s="57" t="s">
        <v>13</v>
      </c>
      <c r="D94" s="20"/>
      <c r="E94" s="20"/>
      <c r="F94" s="20"/>
      <c r="G94" s="20">
        <v>0</v>
      </c>
      <c r="H94" s="20">
        <v>0</v>
      </c>
      <c r="I94" s="20">
        <v>0</v>
      </c>
      <c r="J94" s="20">
        <f>SUM(D94:I94)</f>
        <v>0</v>
      </c>
      <c r="K94" s="8"/>
      <c r="L94" s="8"/>
    </row>
    <row r="95" spans="1:12" ht="16.5" thickBot="1">
      <c r="A95" s="57"/>
      <c r="B95" s="57"/>
      <c r="C95" s="57" t="s">
        <v>13</v>
      </c>
      <c r="D95" s="29">
        <v>542.84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f>SUM(D95:I95)</f>
        <v>542.84</v>
      </c>
      <c r="K95" s="8"/>
      <c r="L95" s="8"/>
    </row>
    <row r="96" spans="1:12">
      <c r="A96" s="57"/>
      <c r="B96" s="57"/>
      <c r="C96" s="57"/>
      <c r="D96" s="20"/>
      <c r="E96" s="20"/>
      <c r="F96" s="20"/>
      <c r="G96" s="20"/>
      <c r="H96" s="20"/>
      <c r="I96" s="20"/>
      <c r="J96" s="20"/>
      <c r="K96" s="8"/>
      <c r="L96" s="8"/>
    </row>
    <row r="97" spans="1:12" ht="16.5" thickBot="1">
      <c r="A97" s="57"/>
      <c r="B97" s="57"/>
      <c r="C97" s="57" t="s">
        <v>10</v>
      </c>
      <c r="D97" s="31">
        <f t="shared" ref="D97:I97" si="13">SUM(D92:D96)</f>
        <v>28937.82</v>
      </c>
      <c r="E97" s="31">
        <f t="shared" si="13"/>
        <v>0</v>
      </c>
      <c r="F97" s="31">
        <f t="shared" si="13"/>
        <v>0</v>
      </c>
      <c r="G97" s="31">
        <f t="shared" si="13"/>
        <v>0</v>
      </c>
      <c r="H97" s="31">
        <f t="shared" si="13"/>
        <v>0</v>
      </c>
      <c r="I97" s="31">
        <f t="shared" si="13"/>
        <v>0</v>
      </c>
      <c r="J97" s="31">
        <f>SUM(D97:I97)</f>
        <v>28937.82</v>
      </c>
      <c r="K97" s="8"/>
      <c r="L97" s="8"/>
    </row>
    <row r="98" spans="1:12" ht="16.5" thickTop="1">
      <c r="A98" s="57"/>
      <c r="B98" s="57"/>
      <c r="C98" s="57"/>
      <c r="D98" s="20"/>
      <c r="E98" s="20"/>
      <c r="F98" s="20"/>
      <c r="G98" s="20"/>
      <c r="H98" s="20"/>
      <c r="I98" s="20"/>
      <c r="J98" s="20"/>
      <c r="K98" s="8"/>
      <c r="L98" s="8"/>
    </row>
    <row r="99" spans="1:12">
      <c r="A99" s="57"/>
      <c r="B99" s="57"/>
      <c r="C99" s="57"/>
      <c r="D99" s="20"/>
      <c r="E99" s="20"/>
      <c r="F99" s="20"/>
      <c r="G99" s="20"/>
      <c r="H99" s="20"/>
      <c r="I99" s="20"/>
      <c r="J99" s="20"/>
      <c r="K99" s="8"/>
      <c r="L99" s="8"/>
    </row>
    <row r="100" spans="1:12">
      <c r="A100" s="57">
        <v>35</v>
      </c>
      <c r="B100" s="57" t="s">
        <v>28</v>
      </c>
      <c r="C100" s="57" t="s">
        <v>12</v>
      </c>
      <c r="D100" s="20">
        <v>11269.7</v>
      </c>
      <c r="E100" s="20">
        <v>94.85</v>
      </c>
      <c r="F100" s="20">
        <v>0</v>
      </c>
      <c r="G100" s="20">
        <v>0</v>
      </c>
      <c r="H100" s="20">
        <v>0</v>
      </c>
      <c r="I100" s="20">
        <v>0</v>
      </c>
      <c r="J100" s="20">
        <f>SUM(D100:I100)</f>
        <v>11364.550000000001</v>
      </c>
      <c r="K100" s="8"/>
      <c r="L100" s="8"/>
    </row>
    <row r="101" spans="1:12" ht="16.5" thickBot="1">
      <c r="A101" s="57"/>
      <c r="B101" s="57"/>
      <c r="C101" s="57" t="s">
        <v>116</v>
      </c>
      <c r="D101" s="29">
        <v>6092.29</v>
      </c>
      <c r="E101" s="29">
        <v>52.6</v>
      </c>
      <c r="F101" s="29">
        <v>0</v>
      </c>
      <c r="G101" s="29"/>
      <c r="H101" s="29"/>
      <c r="I101" s="29"/>
      <c r="J101" s="29">
        <f>SUM(D101:I101)</f>
        <v>6144.89</v>
      </c>
      <c r="K101" s="8"/>
      <c r="L101" s="8"/>
    </row>
    <row r="102" spans="1:12">
      <c r="A102" s="57"/>
      <c r="B102" s="57"/>
      <c r="C102" s="57"/>
      <c r="D102" s="20"/>
      <c r="E102" s="20"/>
      <c r="F102" s="20"/>
      <c r="G102" s="20"/>
      <c r="H102" s="20"/>
      <c r="I102" s="20"/>
      <c r="J102" s="20"/>
      <c r="K102" s="8"/>
      <c r="L102" s="8"/>
    </row>
    <row r="103" spans="1:12" ht="16.5" thickBot="1">
      <c r="A103" s="57"/>
      <c r="B103" s="57"/>
      <c r="C103" s="57" t="s">
        <v>10</v>
      </c>
      <c r="D103" s="31">
        <f t="shared" ref="D103:I103" si="14">SUM(D100:D102)</f>
        <v>17361.990000000002</v>
      </c>
      <c r="E103" s="31">
        <f t="shared" si="14"/>
        <v>147.44999999999999</v>
      </c>
      <c r="F103" s="31">
        <f t="shared" si="14"/>
        <v>0</v>
      </c>
      <c r="G103" s="31">
        <f t="shared" si="14"/>
        <v>0</v>
      </c>
      <c r="H103" s="31">
        <f t="shared" si="14"/>
        <v>0</v>
      </c>
      <c r="I103" s="31">
        <f t="shared" si="14"/>
        <v>0</v>
      </c>
      <c r="J103" s="31">
        <f>SUM(D103:I103)</f>
        <v>17509.440000000002</v>
      </c>
      <c r="K103" s="8"/>
      <c r="L103" s="8"/>
    </row>
    <row r="104" spans="1:12" ht="16.5" thickTop="1">
      <c r="A104" s="57"/>
      <c r="B104" s="57"/>
      <c r="C104" s="57"/>
      <c r="D104" s="20"/>
      <c r="E104" s="20"/>
      <c r="F104" s="20"/>
      <c r="G104" s="20"/>
      <c r="H104" s="20"/>
      <c r="I104" s="20"/>
      <c r="J104" s="20"/>
      <c r="K104" s="8"/>
      <c r="L104" s="8"/>
    </row>
    <row r="105" spans="1:12">
      <c r="A105" s="57"/>
      <c r="B105" s="57"/>
      <c r="C105" s="57"/>
      <c r="D105" s="20"/>
      <c r="E105" s="20"/>
      <c r="F105" s="20"/>
      <c r="G105" s="20"/>
      <c r="H105" s="20"/>
      <c r="I105" s="20"/>
      <c r="J105" s="20"/>
      <c r="K105" s="8"/>
      <c r="L105" s="8"/>
    </row>
    <row r="106" spans="1:12">
      <c r="A106" s="57">
        <v>36</v>
      </c>
      <c r="B106" s="57" t="s">
        <v>29</v>
      </c>
      <c r="C106" s="57" t="s">
        <v>12</v>
      </c>
      <c r="D106" s="20">
        <v>2837.2</v>
      </c>
      <c r="E106" s="20">
        <v>344.66</v>
      </c>
      <c r="F106" s="20">
        <v>339.97</v>
      </c>
      <c r="G106" s="20">
        <v>0</v>
      </c>
      <c r="H106" s="20">
        <v>0</v>
      </c>
      <c r="I106" s="20">
        <v>0</v>
      </c>
      <c r="J106" s="20">
        <f>SUM(D106:I106)</f>
        <v>3521.83</v>
      </c>
      <c r="K106" s="8"/>
      <c r="L106" s="8"/>
    </row>
    <row r="107" spans="1:12" hidden="1">
      <c r="A107" s="57"/>
      <c r="B107" s="57"/>
      <c r="C107" s="57" t="s">
        <v>13</v>
      </c>
      <c r="D107" s="20"/>
      <c r="E107" s="20"/>
      <c r="F107" s="20"/>
      <c r="G107" s="20">
        <v>0</v>
      </c>
      <c r="H107" s="20">
        <v>0</v>
      </c>
      <c r="I107" s="20">
        <v>0</v>
      </c>
      <c r="J107" s="20">
        <f>SUM(D107:I107)</f>
        <v>0</v>
      </c>
      <c r="K107" s="8"/>
      <c r="L107" s="8"/>
    </row>
    <row r="108" spans="1:12" ht="16.5" thickBot="1">
      <c r="A108" s="57"/>
      <c r="B108" s="57"/>
      <c r="C108" s="57" t="s">
        <v>13</v>
      </c>
      <c r="D108" s="29">
        <v>368.48</v>
      </c>
      <c r="E108" s="29">
        <v>4.51</v>
      </c>
      <c r="F108" s="29">
        <v>4.53</v>
      </c>
      <c r="G108" s="29">
        <v>0</v>
      </c>
      <c r="H108" s="29">
        <v>0</v>
      </c>
      <c r="I108" s="29">
        <v>0</v>
      </c>
      <c r="J108" s="29">
        <f>SUM(D108:I108)</f>
        <v>377.52</v>
      </c>
      <c r="K108" s="8"/>
      <c r="L108" s="8"/>
    </row>
    <row r="109" spans="1:12">
      <c r="A109" s="57"/>
      <c r="B109" s="57"/>
      <c r="C109" s="57"/>
      <c r="D109" s="20"/>
      <c r="E109" s="20"/>
      <c r="F109" s="20"/>
      <c r="G109" s="20"/>
      <c r="H109" s="20"/>
      <c r="I109" s="20"/>
      <c r="J109" s="20"/>
      <c r="K109" s="8"/>
      <c r="L109" s="8"/>
    </row>
    <row r="110" spans="1:12" ht="16.5" thickBot="1">
      <c r="A110" s="57"/>
      <c r="B110" s="57"/>
      <c r="C110" s="57" t="s">
        <v>10</v>
      </c>
      <c r="D110" s="31">
        <f t="shared" ref="D110:I110" si="15">SUM(D106:D108)</f>
        <v>3205.68</v>
      </c>
      <c r="E110" s="31">
        <f t="shared" si="15"/>
        <v>349.17</v>
      </c>
      <c r="F110" s="31">
        <f t="shared" si="15"/>
        <v>344.5</v>
      </c>
      <c r="G110" s="31">
        <f t="shared" si="15"/>
        <v>0</v>
      </c>
      <c r="H110" s="31">
        <f t="shared" si="15"/>
        <v>0</v>
      </c>
      <c r="I110" s="31">
        <f t="shared" si="15"/>
        <v>0</v>
      </c>
      <c r="J110" s="31">
        <f>SUM(D110:I110)</f>
        <v>3899.35</v>
      </c>
      <c r="K110" s="8"/>
      <c r="L110" s="8"/>
    </row>
    <row r="111" spans="1:12" ht="16.5" thickTop="1">
      <c r="A111" s="57"/>
      <c r="B111" s="57"/>
      <c r="C111" s="57"/>
      <c r="D111" s="20"/>
      <c r="E111" s="20"/>
      <c r="F111" s="20"/>
      <c r="G111" s="20"/>
      <c r="H111" s="20"/>
      <c r="I111" s="20"/>
      <c r="J111" s="20"/>
      <c r="K111" s="8"/>
      <c r="L111" s="8"/>
    </row>
    <row r="112" spans="1:12">
      <c r="A112" s="57"/>
      <c r="B112" s="57"/>
      <c r="C112" s="57"/>
      <c r="D112" s="20"/>
      <c r="E112" s="20"/>
      <c r="F112" s="20"/>
      <c r="G112" s="20"/>
      <c r="H112" s="20"/>
      <c r="I112" s="20"/>
      <c r="J112" s="20"/>
      <c r="K112" s="8"/>
      <c r="L112" s="8"/>
    </row>
    <row r="113" spans="1:12" ht="16.5" thickBot="1">
      <c r="A113" s="57">
        <v>37</v>
      </c>
      <c r="B113" s="57" t="s">
        <v>30</v>
      </c>
      <c r="C113" s="57" t="s">
        <v>12</v>
      </c>
      <c r="D113" s="29">
        <v>37038.76</v>
      </c>
      <c r="E113" s="29">
        <v>684.72</v>
      </c>
      <c r="F113" s="29">
        <v>0</v>
      </c>
      <c r="G113" s="29">
        <v>0</v>
      </c>
      <c r="H113" s="29">
        <v>0</v>
      </c>
      <c r="I113" s="29">
        <v>0</v>
      </c>
      <c r="J113" s="29">
        <f>SUM(D113:I113)</f>
        <v>37723.480000000003</v>
      </c>
      <c r="K113" s="8"/>
      <c r="L113" s="8"/>
    </row>
    <row r="114" spans="1:12">
      <c r="A114" s="57"/>
      <c r="B114" s="57"/>
      <c r="C114" s="57"/>
      <c r="D114" s="20"/>
      <c r="E114" s="20"/>
      <c r="F114" s="20"/>
      <c r="G114" s="20"/>
      <c r="H114" s="20"/>
      <c r="I114" s="20"/>
      <c r="J114" s="20"/>
      <c r="K114" s="8"/>
      <c r="L114" s="8"/>
    </row>
    <row r="115" spans="1:12" ht="16.5" thickBot="1">
      <c r="A115" s="57"/>
      <c r="B115" s="57"/>
      <c r="C115" s="57" t="s">
        <v>10</v>
      </c>
      <c r="D115" s="31">
        <f t="shared" ref="D115:I115" si="16">SUM(D113:D114)</f>
        <v>37038.76</v>
      </c>
      <c r="E115" s="31">
        <f t="shared" si="16"/>
        <v>684.72</v>
      </c>
      <c r="F115" s="31">
        <f t="shared" si="16"/>
        <v>0</v>
      </c>
      <c r="G115" s="31">
        <f t="shared" si="16"/>
        <v>0</v>
      </c>
      <c r="H115" s="31">
        <f t="shared" si="16"/>
        <v>0</v>
      </c>
      <c r="I115" s="31">
        <f t="shared" si="16"/>
        <v>0</v>
      </c>
      <c r="J115" s="31">
        <f>SUM(D115:I115)</f>
        <v>37723.480000000003</v>
      </c>
      <c r="K115" s="8"/>
      <c r="L115" s="8"/>
    </row>
    <row r="116" spans="1:12" ht="16.5" thickTop="1">
      <c r="A116" s="57"/>
      <c r="B116" s="57"/>
      <c r="C116" s="57"/>
      <c r="D116" s="20"/>
      <c r="E116" s="20"/>
      <c r="F116" s="20"/>
      <c r="G116" s="20"/>
      <c r="H116" s="20"/>
      <c r="I116" s="20"/>
      <c r="J116" s="20"/>
      <c r="K116" s="8"/>
      <c r="L116" s="8"/>
    </row>
    <row r="117" spans="1:12">
      <c r="A117" s="57"/>
      <c r="B117" s="57"/>
      <c r="C117" s="57"/>
      <c r="D117" s="20"/>
      <c r="E117" s="20"/>
      <c r="F117" s="20"/>
      <c r="G117" s="20"/>
      <c r="H117" s="20"/>
      <c r="I117" s="20"/>
      <c r="J117" s="20"/>
      <c r="K117" s="8"/>
      <c r="L117" s="8"/>
    </row>
    <row r="118" spans="1:12">
      <c r="A118" s="57">
        <v>38</v>
      </c>
      <c r="B118" s="57" t="s">
        <v>31</v>
      </c>
      <c r="C118" s="57" t="s">
        <v>12</v>
      </c>
      <c r="D118" s="20">
        <v>18935.580000000002</v>
      </c>
      <c r="E118" s="20">
        <v>163.53</v>
      </c>
      <c r="F118" s="20">
        <v>0</v>
      </c>
      <c r="G118" s="20">
        <v>0</v>
      </c>
      <c r="H118" s="20">
        <v>0</v>
      </c>
      <c r="I118" s="20">
        <v>0</v>
      </c>
      <c r="J118" s="20">
        <f>SUM(D118:I118)</f>
        <v>19099.11</v>
      </c>
      <c r="K118" s="8"/>
      <c r="L118" s="8"/>
    </row>
    <row r="119" spans="1:12" hidden="1">
      <c r="A119" s="57"/>
      <c r="B119" s="57"/>
      <c r="C119" s="57" t="s">
        <v>35</v>
      </c>
      <c r="D119" s="20"/>
      <c r="E119" s="20"/>
      <c r="F119" s="20">
        <v>0</v>
      </c>
      <c r="G119" s="20">
        <v>0</v>
      </c>
      <c r="H119" s="20">
        <v>0</v>
      </c>
      <c r="I119" s="20">
        <v>0</v>
      </c>
      <c r="J119" s="20">
        <f>SUM(D119:I119)</f>
        <v>0</v>
      </c>
      <c r="K119" s="8"/>
      <c r="L119" s="8"/>
    </row>
    <row r="120" spans="1:12" ht="16.5" thickBot="1">
      <c r="A120" s="57"/>
      <c r="B120" s="57"/>
      <c r="C120" s="57" t="s">
        <v>13</v>
      </c>
      <c r="D120" s="29">
        <v>515.47</v>
      </c>
      <c r="E120" s="29">
        <v>4.3600000000000003</v>
      </c>
      <c r="F120" s="29">
        <v>0</v>
      </c>
      <c r="G120" s="29">
        <v>0</v>
      </c>
      <c r="H120" s="29">
        <v>0</v>
      </c>
      <c r="I120" s="29">
        <v>0</v>
      </c>
      <c r="J120" s="29">
        <f>SUM(D120:I120)</f>
        <v>519.83000000000004</v>
      </c>
      <c r="K120" s="8"/>
      <c r="L120" s="8"/>
    </row>
    <row r="121" spans="1:12" ht="16.5" hidden="1" thickBot="1">
      <c r="A121" s="57"/>
      <c r="B121" s="57"/>
      <c r="C121" s="57" t="s">
        <v>78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f>SUM(D121:I121)</f>
        <v>0</v>
      </c>
      <c r="K121" s="8"/>
      <c r="L121" s="8"/>
    </row>
    <row r="122" spans="1:12">
      <c r="A122" s="57"/>
      <c r="B122" s="57"/>
      <c r="C122" s="57"/>
      <c r="D122" s="20"/>
      <c r="E122" s="20"/>
      <c r="F122" s="20"/>
      <c r="G122" s="20"/>
      <c r="H122" s="20"/>
      <c r="I122" s="20"/>
      <c r="J122" s="20"/>
      <c r="K122" s="8"/>
      <c r="L122" s="8"/>
    </row>
    <row r="123" spans="1:12" ht="16.5" thickBot="1">
      <c r="A123" s="57"/>
      <c r="B123" s="57"/>
      <c r="C123" s="57" t="s">
        <v>10</v>
      </c>
      <c r="D123" s="31">
        <f t="shared" ref="D123:I123" si="17">SUM(D118:D121)</f>
        <v>19451.050000000003</v>
      </c>
      <c r="E123" s="31">
        <f t="shared" si="17"/>
        <v>167.89000000000001</v>
      </c>
      <c r="F123" s="31">
        <f t="shared" si="17"/>
        <v>0</v>
      </c>
      <c r="G123" s="31">
        <f t="shared" si="17"/>
        <v>0</v>
      </c>
      <c r="H123" s="31">
        <f t="shared" si="17"/>
        <v>0</v>
      </c>
      <c r="I123" s="31">
        <f t="shared" si="17"/>
        <v>0</v>
      </c>
      <c r="J123" s="31">
        <f>SUM(D123:I123)</f>
        <v>19618.940000000002</v>
      </c>
      <c r="K123" s="8"/>
      <c r="L123" s="8"/>
    </row>
    <row r="124" spans="1:12" ht="16.5" thickTop="1">
      <c r="A124" s="57"/>
      <c r="B124" s="57"/>
      <c r="C124" s="57"/>
      <c r="D124" s="20"/>
      <c r="E124" s="20"/>
      <c r="F124" s="20"/>
      <c r="G124" s="20"/>
      <c r="H124" s="20"/>
      <c r="I124" s="20"/>
      <c r="J124" s="20"/>
      <c r="K124" s="8"/>
      <c r="L124" s="8"/>
    </row>
    <row r="125" spans="1:12">
      <c r="A125" s="57"/>
      <c r="B125" s="57"/>
      <c r="C125" s="57"/>
      <c r="D125" s="20"/>
      <c r="E125" s="20"/>
      <c r="F125" s="20"/>
      <c r="G125" s="20"/>
      <c r="H125" s="20"/>
      <c r="I125" s="20"/>
      <c r="J125" s="20"/>
      <c r="K125" s="8"/>
      <c r="L125" s="8"/>
    </row>
    <row r="126" spans="1:12" ht="16.5" thickBot="1">
      <c r="A126" s="57">
        <v>39</v>
      </c>
      <c r="B126" s="57" t="s">
        <v>32</v>
      </c>
      <c r="C126" s="57" t="s">
        <v>12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f>SUM(D126:I126)</f>
        <v>0</v>
      </c>
      <c r="K126" s="8"/>
      <c r="L126" s="8"/>
    </row>
    <row r="127" spans="1:12">
      <c r="A127" s="57"/>
      <c r="B127" s="57"/>
      <c r="C127" s="57"/>
      <c r="D127" s="20"/>
      <c r="E127" s="20"/>
      <c r="F127" s="20"/>
      <c r="G127" s="20"/>
      <c r="H127" s="20"/>
      <c r="I127" s="20"/>
      <c r="J127" s="20"/>
      <c r="K127" s="8"/>
      <c r="L127" s="8"/>
    </row>
    <row r="128" spans="1:12" ht="16.5" thickBot="1">
      <c r="A128" s="57"/>
      <c r="B128" s="57"/>
      <c r="C128" s="57" t="s">
        <v>10</v>
      </c>
      <c r="D128" s="31">
        <f>D126</f>
        <v>0</v>
      </c>
      <c r="E128" s="31">
        <f t="shared" ref="E128:J128" si="18">E126</f>
        <v>0</v>
      </c>
      <c r="F128" s="31">
        <f t="shared" si="18"/>
        <v>0</v>
      </c>
      <c r="G128" s="31">
        <f t="shared" si="18"/>
        <v>0</v>
      </c>
      <c r="H128" s="31">
        <f t="shared" si="18"/>
        <v>0</v>
      </c>
      <c r="I128" s="31">
        <f t="shared" si="18"/>
        <v>0</v>
      </c>
      <c r="J128" s="31">
        <f t="shared" si="18"/>
        <v>0</v>
      </c>
      <c r="K128" s="8"/>
      <c r="L128" s="8"/>
    </row>
    <row r="129" spans="1:12" ht="16.5" thickTop="1">
      <c r="A129" s="57"/>
      <c r="B129" s="57"/>
      <c r="C129" s="57"/>
      <c r="D129" s="20"/>
      <c r="E129" s="20"/>
      <c r="F129" s="20"/>
      <c r="G129" s="20"/>
      <c r="H129" s="20"/>
      <c r="I129" s="20"/>
      <c r="J129" s="20"/>
      <c r="K129" s="8"/>
      <c r="L129" s="8"/>
    </row>
    <row r="130" spans="1:12" ht="16.5" thickBot="1">
      <c r="A130" s="57">
        <v>40</v>
      </c>
      <c r="B130" s="57" t="s">
        <v>33</v>
      </c>
      <c r="C130" s="57" t="s">
        <v>12</v>
      </c>
      <c r="D130" s="29">
        <v>23729.57</v>
      </c>
      <c r="E130" s="29">
        <v>455.19</v>
      </c>
      <c r="F130" s="29">
        <v>176.67</v>
      </c>
      <c r="G130" s="29">
        <v>0</v>
      </c>
      <c r="H130" s="29">
        <v>0</v>
      </c>
      <c r="I130" s="29">
        <v>0</v>
      </c>
      <c r="J130" s="29">
        <f>SUM(D130:I130)</f>
        <v>24361.429999999997</v>
      </c>
      <c r="K130" s="8"/>
      <c r="L130" s="8"/>
    </row>
    <row r="131" spans="1:12">
      <c r="A131" s="57"/>
      <c r="B131" s="57"/>
      <c r="C131" s="57"/>
      <c r="D131" s="20"/>
      <c r="E131" s="20"/>
      <c r="F131" s="20"/>
      <c r="G131" s="20"/>
      <c r="H131" s="20"/>
      <c r="I131" s="20"/>
      <c r="J131" s="20"/>
      <c r="K131" s="8"/>
      <c r="L131" s="8"/>
    </row>
    <row r="132" spans="1:12" ht="16.5" thickBot="1">
      <c r="A132" s="57"/>
      <c r="B132" s="57"/>
      <c r="C132" s="57" t="s">
        <v>10</v>
      </c>
      <c r="D132" s="31">
        <f t="shared" ref="D132:I132" si="19">SUM(D130:D131)</f>
        <v>23729.57</v>
      </c>
      <c r="E132" s="31">
        <f t="shared" si="19"/>
        <v>455.19</v>
      </c>
      <c r="F132" s="31">
        <f t="shared" si="19"/>
        <v>176.67</v>
      </c>
      <c r="G132" s="31">
        <f t="shared" si="19"/>
        <v>0</v>
      </c>
      <c r="H132" s="31">
        <f t="shared" si="19"/>
        <v>0</v>
      </c>
      <c r="I132" s="31">
        <f t="shared" si="19"/>
        <v>0</v>
      </c>
      <c r="J132" s="31">
        <f>SUM(D132:I132)</f>
        <v>24361.429999999997</v>
      </c>
      <c r="K132" s="8"/>
      <c r="L132" s="8"/>
    </row>
    <row r="133" spans="1:12" ht="16.5" thickTop="1">
      <c r="A133" s="57"/>
      <c r="B133" s="57"/>
      <c r="C133" s="57"/>
      <c r="D133" s="20"/>
      <c r="E133" s="20"/>
      <c r="F133" s="20"/>
      <c r="G133" s="20"/>
      <c r="H133" s="20"/>
      <c r="I133" s="20"/>
      <c r="J133" s="20"/>
      <c r="K133" s="8"/>
      <c r="L133" s="8"/>
    </row>
    <row r="134" spans="1:12">
      <c r="A134" s="57"/>
      <c r="B134" s="57"/>
      <c r="C134" s="57"/>
      <c r="D134" s="20"/>
      <c r="E134" s="20"/>
      <c r="F134" s="20"/>
      <c r="G134" s="20"/>
      <c r="H134" s="20"/>
      <c r="I134" s="20"/>
      <c r="J134" s="20"/>
      <c r="K134" s="8"/>
      <c r="L134" s="8"/>
    </row>
    <row r="135" spans="1:12" ht="16.5" thickBot="1">
      <c r="A135" s="57">
        <v>41</v>
      </c>
      <c r="B135" s="57" t="s">
        <v>34</v>
      </c>
      <c r="C135" s="57" t="s">
        <v>12</v>
      </c>
      <c r="D135" s="29">
        <v>18864.73</v>
      </c>
      <c r="E135" s="29">
        <v>236.18</v>
      </c>
      <c r="F135" s="29">
        <v>0</v>
      </c>
      <c r="G135" s="29">
        <v>0</v>
      </c>
      <c r="H135" s="29">
        <v>0</v>
      </c>
      <c r="I135" s="29">
        <v>0</v>
      </c>
      <c r="J135" s="29">
        <f>SUM(D135:I135)</f>
        <v>19100.91</v>
      </c>
      <c r="K135" s="8"/>
      <c r="L135" s="8"/>
    </row>
    <row r="136" spans="1:12" hidden="1">
      <c r="A136" s="57"/>
      <c r="B136" s="57"/>
      <c r="C136" s="57" t="s">
        <v>35</v>
      </c>
      <c r="D136" s="20">
        <v>0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f>SUM(D136:I136)</f>
        <v>0</v>
      </c>
      <c r="K136" s="8"/>
      <c r="L136" s="8"/>
    </row>
    <row r="137" spans="1:12" ht="16.5" hidden="1" thickBot="1">
      <c r="A137" s="57"/>
      <c r="B137" s="57"/>
      <c r="C137" s="57" t="s">
        <v>109</v>
      </c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f>SUM(D137:I137)</f>
        <v>0</v>
      </c>
      <c r="K137" s="8"/>
      <c r="L137" s="8"/>
    </row>
    <row r="138" spans="1:12">
      <c r="A138" s="57"/>
      <c r="B138" s="57"/>
      <c r="C138" s="57"/>
      <c r="D138" s="20"/>
      <c r="E138" s="20"/>
      <c r="F138" s="20"/>
      <c r="G138" s="20"/>
      <c r="H138" s="20"/>
      <c r="I138" s="20"/>
      <c r="J138" s="20"/>
      <c r="K138" s="8"/>
      <c r="L138" s="8"/>
    </row>
    <row r="139" spans="1:12" ht="16.5" thickBot="1">
      <c r="A139" s="57"/>
      <c r="B139" s="57"/>
      <c r="C139" s="57" t="s">
        <v>10</v>
      </c>
      <c r="D139" s="31">
        <f t="shared" ref="D139:I139" si="20">SUM(D135:D137)</f>
        <v>18864.73</v>
      </c>
      <c r="E139" s="31">
        <f t="shared" si="20"/>
        <v>236.18</v>
      </c>
      <c r="F139" s="31">
        <f t="shared" si="20"/>
        <v>0</v>
      </c>
      <c r="G139" s="31">
        <f t="shared" si="20"/>
        <v>0</v>
      </c>
      <c r="H139" s="31">
        <f t="shared" si="20"/>
        <v>0</v>
      </c>
      <c r="I139" s="31">
        <f t="shared" si="20"/>
        <v>0</v>
      </c>
      <c r="J139" s="31">
        <f>SUM(D139:I139)</f>
        <v>19100.91</v>
      </c>
      <c r="K139" s="8"/>
      <c r="L139" s="8"/>
    </row>
    <row r="140" spans="1:12" ht="16.5" thickTop="1">
      <c r="A140" s="57"/>
      <c r="B140" s="57"/>
      <c r="C140" s="57"/>
      <c r="D140" s="20"/>
      <c r="E140" s="20"/>
      <c r="F140" s="20"/>
      <c r="G140" s="20"/>
      <c r="H140" s="20"/>
      <c r="I140" s="20"/>
      <c r="J140" s="20"/>
      <c r="K140" s="8"/>
      <c r="L140" s="8"/>
    </row>
    <row r="141" spans="1:12">
      <c r="A141" s="57"/>
      <c r="B141" s="57"/>
      <c r="C141" s="57"/>
      <c r="D141" s="20"/>
      <c r="E141" s="20"/>
      <c r="F141" s="20"/>
      <c r="G141" s="20"/>
      <c r="H141" s="20"/>
      <c r="I141" s="20"/>
      <c r="J141" s="20"/>
      <c r="K141" s="8"/>
      <c r="L141" s="8"/>
    </row>
    <row r="142" spans="1:12">
      <c r="A142" s="57">
        <v>42</v>
      </c>
      <c r="B142" s="57" t="s">
        <v>36</v>
      </c>
      <c r="C142" s="57" t="s">
        <v>12</v>
      </c>
      <c r="D142" s="39">
        <v>19749.04</v>
      </c>
      <c r="E142" s="20">
        <v>304.5</v>
      </c>
      <c r="F142" s="39">
        <v>8.85</v>
      </c>
      <c r="G142" s="20">
        <v>0</v>
      </c>
      <c r="H142" s="20">
        <v>0</v>
      </c>
      <c r="I142" s="20">
        <v>0</v>
      </c>
      <c r="J142" s="20">
        <f>SUM(D142:I142)</f>
        <v>20062.39</v>
      </c>
      <c r="K142" s="8"/>
      <c r="L142" s="8"/>
    </row>
    <row r="143" spans="1:12" ht="16.5" thickBot="1">
      <c r="A143" s="57"/>
      <c r="B143" s="57"/>
      <c r="C143" s="57" t="s">
        <v>13</v>
      </c>
      <c r="D143" s="29">
        <v>1224.1099999999999</v>
      </c>
      <c r="E143" s="29">
        <v>24.34</v>
      </c>
      <c r="F143" s="29">
        <v>0.6</v>
      </c>
      <c r="G143" s="29">
        <v>0</v>
      </c>
      <c r="H143" s="29">
        <v>0</v>
      </c>
      <c r="I143" s="29">
        <v>0</v>
      </c>
      <c r="J143" s="29">
        <f>SUM(D143:I143)</f>
        <v>1249.0499999999997</v>
      </c>
      <c r="K143" s="8"/>
      <c r="L143" s="8"/>
    </row>
    <row r="144" spans="1:12">
      <c r="A144" s="57"/>
      <c r="B144" s="57"/>
      <c r="C144" s="57"/>
      <c r="D144" s="20"/>
      <c r="E144" s="20"/>
      <c r="F144" s="20"/>
      <c r="G144" s="20"/>
      <c r="H144" s="20"/>
      <c r="I144" s="20"/>
      <c r="J144" s="20"/>
      <c r="K144" s="8"/>
      <c r="L144" s="8"/>
    </row>
    <row r="145" spans="1:12" ht="16.5" thickBot="1">
      <c r="A145" s="57"/>
      <c r="B145" s="57"/>
      <c r="C145" s="57" t="s">
        <v>10</v>
      </c>
      <c r="D145" s="31">
        <f t="shared" ref="D145:I145" si="21">SUM(D142:D143)</f>
        <v>20973.15</v>
      </c>
      <c r="E145" s="31">
        <f t="shared" si="21"/>
        <v>328.84</v>
      </c>
      <c r="F145" s="31">
        <f t="shared" si="21"/>
        <v>9.4499999999999993</v>
      </c>
      <c r="G145" s="31">
        <f t="shared" si="21"/>
        <v>0</v>
      </c>
      <c r="H145" s="31">
        <f t="shared" si="21"/>
        <v>0</v>
      </c>
      <c r="I145" s="31">
        <f t="shared" si="21"/>
        <v>0</v>
      </c>
      <c r="J145" s="31">
        <f>SUM(D145:I145)</f>
        <v>21311.440000000002</v>
      </c>
      <c r="K145" s="8"/>
      <c r="L145" s="8"/>
    </row>
    <row r="146" spans="1:12" ht="16.5" thickTop="1">
      <c r="A146" s="57"/>
      <c r="B146" s="57"/>
      <c r="C146" s="57"/>
      <c r="D146" s="20"/>
      <c r="E146" s="20"/>
      <c r="F146" s="20"/>
      <c r="G146" s="20"/>
      <c r="H146" s="20"/>
      <c r="I146" s="20"/>
      <c r="J146" s="20"/>
      <c r="K146" s="8"/>
      <c r="L146" s="8"/>
    </row>
    <row r="147" spans="1:12">
      <c r="A147" s="57"/>
      <c r="B147" s="57"/>
      <c r="C147" s="57"/>
      <c r="D147" s="20"/>
      <c r="E147" s="20"/>
      <c r="F147" s="20"/>
      <c r="G147" s="20"/>
      <c r="H147" s="20"/>
      <c r="I147" s="20"/>
      <c r="J147" s="20"/>
      <c r="K147" s="8"/>
      <c r="L147" s="8"/>
    </row>
    <row r="148" spans="1:12">
      <c r="A148" s="57">
        <v>43</v>
      </c>
      <c r="B148" s="57" t="s">
        <v>37</v>
      </c>
      <c r="C148" s="57" t="s">
        <v>12</v>
      </c>
      <c r="D148" s="39">
        <v>28520.95</v>
      </c>
      <c r="E148" s="20">
        <v>170.2</v>
      </c>
      <c r="F148" s="20">
        <v>8.19</v>
      </c>
      <c r="G148" s="20">
        <v>0</v>
      </c>
      <c r="H148" s="20">
        <v>0</v>
      </c>
      <c r="I148" s="20">
        <v>0</v>
      </c>
      <c r="J148" s="20">
        <f>SUM(D148:I148)</f>
        <v>28699.34</v>
      </c>
      <c r="K148" s="8"/>
      <c r="L148" s="8"/>
    </row>
    <row r="149" spans="1:12" hidden="1">
      <c r="A149" s="57"/>
      <c r="B149" s="57"/>
      <c r="C149" s="57" t="s">
        <v>35</v>
      </c>
      <c r="D149" s="20"/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f>SUM(D149:I149)</f>
        <v>0</v>
      </c>
      <c r="K149" s="8"/>
      <c r="L149" s="8"/>
    </row>
    <row r="150" spans="1:12" ht="16.5" thickBot="1">
      <c r="A150" s="57"/>
      <c r="B150" s="57"/>
      <c r="C150" s="57" t="s">
        <v>13</v>
      </c>
      <c r="D150" s="29">
        <v>823.93</v>
      </c>
      <c r="E150" s="29">
        <v>4.0599999999999996</v>
      </c>
      <c r="F150" s="50">
        <v>0.23</v>
      </c>
      <c r="G150" s="29">
        <v>0</v>
      </c>
      <c r="H150" s="29">
        <v>0</v>
      </c>
      <c r="I150" s="29">
        <v>0</v>
      </c>
      <c r="J150" s="29">
        <f>SUM(D150:I150)</f>
        <v>828.21999999999991</v>
      </c>
      <c r="K150" s="8"/>
      <c r="L150" s="8"/>
    </row>
    <row r="151" spans="1:12" ht="16.5" hidden="1" thickBot="1">
      <c r="A151" s="57"/>
      <c r="B151" s="57"/>
      <c r="C151" s="57" t="s">
        <v>78</v>
      </c>
      <c r="D151" s="29">
        <v>0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f>SUM(D151:I151)</f>
        <v>0</v>
      </c>
      <c r="K151" s="8"/>
      <c r="L151" s="8"/>
    </row>
    <row r="152" spans="1:12">
      <c r="A152" s="57"/>
      <c r="B152" s="57"/>
      <c r="C152" s="57"/>
      <c r="D152" s="20"/>
      <c r="E152" s="20"/>
      <c r="F152" s="20"/>
      <c r="G152" s="20"/>
      <c r="H152" s="20"/>
      <c r="I152" s="20"/>
      <c r="J152" s="20"/>
      <c r="K152" s="8"/>
      <c r="L152" s="8"/>
    </row>
    <row r="153" spans="1:12" ht="16.5" thickBot="1">
      <c r="A153" s="57"/>
      <c r="B153" s="57"/>
      <c r="C153" s="57" t="s">
        <v>10</v>
      </c>
      <c r="D153" s="31">
        <f t="shared" ref="D153:I153" si="22">SUM(D148:D151)</f>
        <v>29344.880000000001</v>
      </c>
      <c r="E153" s="31">
        <f>SUM(E148:E152)</f>
        <v>174.26</v>
      </c>
      <c r="F153" s="31">
        <f t="shared" si="22"/>
        <v>8.42</v>
      </c>
      <c r="G153" s="31">
        <f t="shared" si="22"/>
        <v>0</v>
      </c>
      <c r="H153" s="31">
        <f t="shared" si="22"/>
        <v>0</v>
      </c>
      <c r="I153" s="31">
        <f t="shared" si="22"/>
        <v>0</v>
      </c>
      <c r="J153" s="31">
        <f>SUM(D153:I153)</f>
        <v>29527.559999999998</v>
      </c>
      <c r="K153" s="8"/>
      <c r="L153" s="8"/>
    </row>
    <row r="154" spans="1:12" ht="16.5" thickTop="1">
      <c r="A154" s="57"/>
      <c r="B154" s="57"/>
      <c r="C154" s="57"/>
      <c r="D154" s="20"/>
      <c r="E154" s="20"/>
      <c r="F154" s="20"/>
      <c r="G154" s="20"/>
      <c r="H154" s="20"/>
      <c r="I154" s="20"/>
      <c r="J154" s="20"/>
      <c r="K154" s="8"/>
      <c r="L154" s="8"/>
    </row>
    <row r="155" spans="1:12">
      <c r="A155" s="57"/>
      <c r="B155" s="57"/>
      <c r="C155" s="57"/>
      <c r="D155" s="20"/>
      <c r="E155" s="20"/>
      <c r="F155" s="20"/>
      <c r="G155" s="20"/>
      <c r="H155" s="20"/>
      <c r="I155" s="20"/>
      <c r="J155" s="20"/>
      <c r="K155" s="8"/>
      <c r="L155" s="8"/>
    </row>
    <row r="156" spans="1:12" ht="16.5" thickBot="1">
      <c r="A156" s="57">
        <v>44</v>
      </c>
      <c r="B156" s="57" t="s">
        <v>38</v>
      </c>
      <c r="C156" s="57" t="s">
        <v>12</v>
      </c>
      <c r="D156" s="29">
        <v>24845.13</v>
      </c>
      <c r="E156" s="29">
        <v>472.92</v>
      </c>
      <c r="F156" s="29">
        <v>111.07</v>
      </c>
      <c r="G156" s="29">
        <v>0</v>
      </c>
      <c r="H156" s="29">
        <v>0</v>
      </c>
      <c r="I156" s="29">
        <v>0</v>
      </c>
      <c r="J156" s="29">
        <f>SUM(D156:I156)</f>
        <v>25429.119999999999</v>
      </c>
      <c r="K156" s="8"/>
      <c r="L156" s="8"/>
    </row>
    <row r="157" spans="1:12">
      <c r="A157" s="57"/>
      <c r="B157" s="57"/>
      <c r="C157" s="57"/>
      <c r="D157" s="20"/>
      <c r="E157" s="20"/>
      <c r="F157" s="20"/>
      <c r="G157" s="20"/>
      <c r="H157" s="20"/>
      <c r="I157" s="20"/>
      <c r="J157" s="20"/>
      <c r="K157" s="8"/>
      <c r="L157" s="8"/>
    </row>
    <row r="158" spans="1:12" ht="16.5" thickBot="1">
      <c r="A158" s="57"/>
      <c r="B158" s="57"/>
      <c r="C158" s="57" t="s">
        <v>10</v>
      </c>
      <c r="D158" s="31">
        <f t="shared" ref="D158:I158" si="23">SUM(D156:D157)</f>
        <v>24845.13</v>
      </c>
      <c r="E158" s="31">
        <f t="shared" si="23"/>
        <v>472.92</v>
      </c>
      <c r="F158" s="31">
        <f t="shared" si="23"/>
        <v>111.07</v>
      </c>
      <c r="G158" s="31">
        <f t="shared" si="23"/>
        <v>0</v>
      </c>
      <c r="H158" s="31">
        <f t="shared" si="23"/>
        <v>0</v>
      </c>
      <c r="I158" s="31">
        <f t="shared" si="23"/>
        <v>0</v>
      </c>
      <c r="J158" s="31">
        <f>SUM(D158:I158)</f>
        <v>25429.119999999999</v>
      </c>
      <c r="K158" s="8"/>
      <c r="L158" s="8"/>
    </row>
    <row r="159" spans="1:12" ht="16.5" thickTop="1">
      <c r="A159" s="57"/>
      <c r="B159" s="57"/>
      <c r="C159" s="57"/>
      <c r="D159" s="20"/>
      <c r="E159" s="20"/>
      <c r="F159" s="20"/>
      <c r="G159" s="20" t="s">
        <v>70</v>
      </c>
      <c r="H159" s="20" t="s">
        <v>70</v>
      </c>
      <c r="I159" s="20" t="s">
        <v>70</v>
      </c>
      <c r="J159" s="20"/>
      <c r="K159" s="8"/>
      <c r="L159" s="8"/>
    </row>
    <row r="160" spans="1:12">
      <c r="A160" s="57"/>
      <c r="B160" s="57"/>
      <c r="C160" s="57"/>
      <c r="D160" s="20"/>
      <c r="E160" s="20"/>
      <c r="F160" s="20"/>
      <c r="G160" s="20"/>
      <c r="H160" s="20"/>
      <c r="I160" s="20"/>
      <c r="J160" s="20"/>
      <c r="K160" s="8"/>
      <c r="L160" s="8"/>
    </row>
    <row r="161" spans="1:12">
      <c r="A161" s="57">
        <v>45</v>
      </c>
      <c r="B161" s="57" t="s">
        <v>39</v>
      </c>
      <c r="C161" s="57" t="s">
        <v>12</v>
      </c>
      <c r="D161" s="20">
        <v>6972.75</v>
      </c>
      <c r="E161" s="20">
        <v>601.58000000000004</v>
      </c>
      <c r="F161" s="20">
        <v>740.34</v>
      </c>
      <c r="G161" s="20">
        <v>0</v>
      </c>
      <c r="H161" s="20">
        <v>0</v>
      </c>
      <c r="I161" s="20">
        <v>0</v>
      </c>
      <c r="J161" s="20">
        <f>SUM(D161:I161)</f>
        <v>8314.67</v>
      </c>
      <c r="K161" s="8"/>
      <c r="L161" s="8"/>
    </row>
    <row r="162" spans="1:12" ht="16.5" thickBot="1">
      <c r="A162" s="57"/>
      <c r="B162" s="57"/>
      <c r="C162" s="57" t="s">
        <v>116</v>
      </c>
      <c r="D162" s="29">
        <v>6524.21</v>
      </c>
      <c r="E162" s="29">
        <v>334.97</v>
      </c>
      <c r="F162" s="29">
        <v>366.05</v>
      </c>
      <c r="G162" s="29">
        <v>0</v>
      </c>
      <c r="H162" s="29">
        <v>0</v>
      </c>
      <c r="I162" s="29">
        <v>0</v>
      </c>
      <c r="J162" s="29">
        <f>SUM(D162:I162)</f>
        <v>7225.2300000000005</v>
      </c>
      <c r="K162" s="8"/>
      <c r="L162" s="8"/>
    </row>
    <row r="163" spans="1:12">
      <c r="A163" s="57"/>
      <c r="B163" s="57"/>
      <c r="C163" s="57"/>
      <c r="D163" s="20"/>
      <c r="E163" s="20"/>
      <c r="F163" s="20"/>
      <c r="G163" s="20"/>
      <c r="H163" s="20"/>
      <c r="I163" s="20"/>
      <c r="J163" s="20"/>
      <c r="K163" s="8"/>
      <c r="L163" s="8"/>
    </row>
    <row r="164" spans="1:12" ht="16.5" thickBot="1">
      <c r="A164" s="57"/>
      <c r="B164" s="57"/>
      <c r="C164" s="57" t="s">
        <v>10</v>
      </c>
      <c r="D164" s="31">
        <f t="shared" ref="D164:I164" si="24">SUM(D161:D163)</f>
        <v>13496.96</v>
      </c>
      <c r="E164" s="31">
        <f t="shared" si="24"/>
        <v>936.55000000000007</v>
      </c>
      <c r="F164" s="31">
        <f t="shared" si="24"/>
        <v>1106.3900000000001</v>
      </c>
      <c r="G164" s="31">
        <f t="shared" si="24"/>
        <v>0</v>
      </c>
      <c r="H164" s="31">
        <f t="shared" si="24"/>
        <v>0</v>
      </c>
      <c r="I164" s="31">
        <f t="shared" si="24"/>
        <v>0</v>
      </c>
      <c r="J164" s="31">
        <f>SUM(D164:I164)</f>
        <v>15539.899999999998</v>
      </c>
      <c r="K164" s="8"/>
      <c r="L164" s="8"/>
    </row>
    <row r="165" spans="1:12" ht="16.5" thickTop="1">
      <c r="A165" s="57"/>
      <c r="B165" s="57"/>
      <c r="C165" s="57"/>
      <c r="D165" s="20"/>
      <c r="E165" s="20"/>
      <c r="F165" s="20"/>
      <c r="G165" s="20"/>
      <c r="H165" s="20"/>
      <c r="I165" s="20"/>
      <c r="J165" s="20"/>
      <c r="K165" s="8"/>
      <c r="L165" s="8"/>
    </row>
    <row r="166" spans="1:12">
      <c r="A166" s="57"/>
      <c r="B166" s="57"/>
      <c r="C166" s="57"/>
      <c r="D166" s="20"/>
      <c r="E166" s="20"/>
      <c r="F166" s="20"/>
      <c r="G166" s="20"/>
      <c r="H166" s="20"/>
      <c r="I166" s="20"/>
      <c r="J166" s="20"/>
      <c r="K166" s="8"/>
      <c r="L166" s="8"/>
    </row>
    <row r="167" spans="1:12" ht="16.5" thickBot="1">
      <c r="A167" s="57">
        <v>46</v>
      </c>
      <c r="B167" s="57" t="s">
        <v>40</v>
      </c>
      <c r="C167" s="57" t="s">
        <v>12</v>
      </c>
      <c r="D167" s="29">
        <v>13387.84</v>
      </c>
      <c r="E167" s="29">
        <v>82.14</v>
      </c>
      <c r="F167" s="29">
        <v>83.64</v>
      </c>
      <c r="G167" s="29">
        <v>0</v>
      </c>
      <c r="H167" s="29">
        <v>0</v>
      </c>
      <c r="I167" s="29">
        <v>0</v>
      </c>
      <c r="J167" s="29">
        <f>SUM(D167:I167)</f>
        <v>13553.619999999999</v>
      </c>
      <c r="K167" s="8"/>
      <c r="L167" s="8"/>
    </row>
    <row r="168" spans="1:12">
      <c r="A168" s="57"/>
      <c r="B168" s="57"/>
      <c r="C168" s="57"/>
      <c r="D168" s="20"/>
      <c r="E168" s="20"/>
      <c r="F168" s="20"/>
      <c r="G168" s="20"/>
      <c r="H168" s="20"/>
      <c r="I168" s="20"/>
      <c r="J168" s="20"/>
      <c r="K168" s="8"/>
      <c r="L168" s="8"/>
    </row>
    <row r="169" spans="1:12" ht="16.5" thickBot="1">
      <c r="A169" s="57"/>
      <c r="B169" s="57"/>
      <c r="C169" s="57" t="s">
        <v>10</v>
      </c>
      <c r="D169" s="31">
        <f t="shared" ref="D169:I169" si="25">SUM(D167:D168)</f>
        <v>13387.84</v>
      </c>
      <c r="E169" s="31">
        <f t="shared" si="25"/>
        <v>82.14</v>
      </c>
      <c r="F169" s="31">
        <f t="shared" si="25"/>
        <v>83.64</v>
      </c>
      <c r="G169" s="31">
        <f t="shared" si="25"/>
        <v>0</v>
      </c>
      <c r="H169" s="31">
        <f t="shared" si="25"/>
        <v>0</v>
      </c>
      <c r="I169" s="31">
        <f t="shared" si="25"/>
        <v>0</v>
      </c>
      <c r="J169" s="31">
        <f>SUM(D169:I169)</f>
        <v>13553.619999999999</v>
      </c>
      <c r="K169" s="8"/>
      <c r="L169" s="8"/>
    </row>
    <row r="170" spans="1:12" ht="16.5" thickTop="1">
      <c r="A170" s="57"/>
      <c r="B170" s="57"/>
      <c r="C170" s="57"/>
      <c r="D170" s="20"/>
      <c r="E170" s="20"/>
      <c r="F170" s="20"/>
      <c r="G170" s="20"/>
      <c r="H170" s="20"/>
      <c r="I170" s="20"/>
      <c r="J170" s="20"/>
      <c r="K170" s="8"/>
      <c r="L170" s="8"/>
    </row>
    <row r="171" spans="1:12">
      <c r="A171" s="57"/>
      <c r="B171" s="57"/>
      <c r="C171" s="57"/>
      <c r="D171" s="20"/>
      <c r="E171" s="20"/>
      <c r="F171" s="20"/>
      <c r="G171" s="20"/>
      <c r="H171" s="20"/>
      <c r="I171" s="20"/>
      <c r="J171" s="20"/>
      <c r="K171" s="8"/>
      <c r="L171" s="8"/>
    </row>
    <row r="172" spans="1:12" ht="16.5" thickBot="1">
      <c r="A172" s="57">
        <v>47</v>
      </c>
      <c r="B172" s="57" t="s">
        <v>41</v>
      </c>
      <c r="C172" s="57" t="s">
        <v>12</v>
      </c>
      <c r="D172" s="29">
        <v>16265.72</v>
      </c>
      <c r="E172" s="29">
        <v>164.61</v>
      </c>
      <c r="F172" s="29">
        <v>0</v>
      </c>
      <c r="G172" s="29">
        <v>0</v>
      </c>
      <c r="H172" s="29">
        <v>0</v>
      </c>
      <c r="I172" s="29">
        <v>0</v>
      </c>
      <c r="J172" s="29">
        <f>SUM(D172:I172)</f>
        <v>16430.329999999998</v>
      </c>
      <c r="K172" s="8"/>
      <c r="L172" s="8"/>
    </row>
    <row r="173" spans="1:12">
      <c r="A173" s="57"/>
      <c r="B173" s="57"/>
      <c r="C173" s="57"/>
      <c r="D173" s="20"/>
      <c r="E173" s="20"/>
      <c r="F173" s="20"/>
      <c r="G173" s="20"/>
      <c r="H173" s="20"/>
      <c r="I173" s="20"/>
      <c r="J173" s="20"/>
      <c r="K173" s="8"/>
      <c r="L173" s="8"/>
    </row>
    <row r="174" spans="1:12" ht="16.5" thickBot="1">
      <c r="A174" s="57"/>
      <c r="B174" s="57"/>
      <c r="C174" s="57" t="s">
        <v>10</v>
      </c>
      <c r="D174" s="31">
        <f t="shared" ref="D174:I174" si="26">SUM(D172:D173)</f>
        <v>16265.72</v>
      </c>
      <c r="E174" s="31">
        <f t="shared" si="26"/>
        <v>164.61</v>
      </c>
      <c r="F174" s="31">
        <f t="shared" si="26"/>
        <v>0</v>
      </c>
      <c r="G174" s="31">
        <f t="shared" si="26"/>
        <v>0</v>
      </c>
      <c r="H174" s="31">
        <f t="shared" si="26"/>
        <v>0</v>
      </c>
      <c r="I174" s="31">
        <f t="shared" si="26"/>
        <v>0</v>
      </c>
      <c r="J174" s="31">
        <f>SUM(D174:I174)</f>
        <v>16430.329999999998</v>
      </c>
      <c r="K174" s="8"/>
      <c r="L174" s="8"/>
    </row>
    <row r="175" spans="1:12" ht="16.5" thickTop="1">
      <c r="A175" s="57"/>
      <c r="B175" s="57"/>
      <c r="C175" s="57"/>
      <c r="D175" s="20"/>
      <c r="E175" s="20"/>
      <c r="F175" s="20"/>
      <c r="G175" s="20"/>
      <c r="H175" s="20"/>
      <c r="I175" s="20"/>
      <c r="J175" s="20"/>
      <c r="K175" s="8"/>
      <c r="L175" s="8"/>
    </row>
    <row r="176" spans="1:12">
      <c r="A176" s="57"/>
      <c r="B176" s="57"/>
      <c r="C176" s="57"/>
      <c r="D176" s="20"/>
      <c r="E176" s="20"/>
      <c r="F176" s="20"/>
      <c r="G176" s="20"/>
      <c r="H176" s="20"/>
      <c r="I176" s="20"/>
      <c r="J176" s="20"/>
      <c r="K176" s="8"/>
      <c r="L176" s="8"/>
    </row>
    <row r="177" spans="1:12" ht="16.5" thickBot="1">
      <c r="A177" s="57">
        <v>48</v>
      </c>
      <c r="B177" s="57" t="s">
        <v>42</v>
      </c>
      <c r="C177" s="57" t="s">
        <v>12</v>
      </c>
      <c r="D177" s="29">
        <v>17517.830000000002</v>
      </c>
      <c r="E177" s="29">
        <v>428.53</v>
      </c>
      <c r="F177" s="29">
        <v>0</v>
      </c>
      <c r="G177" s="29">
        <v>0</v>
      </c>
      <c r="H177" s="29">
        <v>0</v>
      </c>
      <c r="I177" s="29">
        <v>0</v>
      </c>
      <c r="J177" s="29">
        <f>SUM(D177:I177)</f>
        <v>17946.36</v>
      </c>
      <c r="K177" s="8"/>
      <c r="L177" s="8"/>
    </row>
    <row r="178" spans="1:12">
      <c r="A178" s="57"/>
      <c r="B178" s="57"/>
      <c r="C178" s="57"/>
      <c r="D178" s="20"/>
      <c r="E178" s="20"/>
      <c r="F178" s="20"/>
      <c r="G178" s="20"/>
      <c r="H178" s="20"/>
      <c r="I178" s="20"/>
      <c r="J178" s="20"/>
      <c r="K178" s="8"/>
      <c r="L178" s="8"/>
    </row>
    <row r="179" spans="1:12" ht="16.5" thickBot="1">
      <c r="A179" s="57"/>
      <c r="B179" s="57"/>
      <c r="C179" s="57" t="s">
        <v>10</v>
      </c>
      <c r="D179" s="31">
        <f t="shared" ref="D179:I179" si="27">SUM(D177:D178)</f>
        <v>17517.830000000002</v>
      </c>
      <c r="E179" s="31">
        <f t="shared" si="27"/>
        <v>428.53</v>
      </c>
      <c r="F179" s="31">
        <f t="shared" si="27"/>
        <v>0</v>
      </c>
      <c r="G179" s="31">
        <f t="shared" si="27"/>
        <v>0</v>
      </c>
      <c r="H179" s="31">
        <f t="shared" si="27"/>
        <v>0</v>
      </c>
      <c r="I179" s="31">
        <f t="shared" si="27"/>
        <v>0</v>
      </c>
      <c r="J179" s="31">
        <f>SUM(D179:I179)</f>
        <v>17946.36</v>
      </c>
      <c r="K179" s="8"/>
      <c r="L179" s="8"/>
    </row>
    <row r="180" spans="1:12" ht="16.5" thickTop="1">
      <c r="A180" s="57"/>
      <c r="B180" s="57"/>
      <c r="C180" s="57"/>
      <c r="D180" s="20"/>
      <c r="E180" s="20"/>
      <c r="F180" s="20"/>
      <c r="G180" s="20"/>
      <c r="H180" s="20"/>
      <c r="I180" s="20"/>
      <c r="J180" s="20"/>
      <c r="K180" s="8"/>
      <c r="L180" s="8"/>
    </row>
    <row r="181" spans="1:12">
      <c r="A181" s="57"/>
      <c r="B181" s="57"/>
      <c r="C181" s="57"/>
      <c r="D181" s="20"/>
      <c r="E181" s="20"/>
      <c r="F181" s="20"/>
      <c r="G181" s="20"/>
      <c r="H181" s="20"/>
      <c r="I181" s="20"/>
      <c r="J181" s="20"/>
      <c r="K181" s="8"/>
      <c r="L181" s="8"/>
    </row>
    <row r="182" spans="1:12" ht="16.5" thickBot="1">
      <c r="A182" s="57">
        <v>49</v>
      </c>
      <c r="B182" s="57" t="s">
        <v>43</v>
      </c>
      <c r="C182" s="57" t="s">
        <v>12</v>
      </c>
      <c r="D182" s="29">
        <v>22407.99</v>
      </c>
      <c r="E182" s="29">
        <v>444.73</v>
      </c>
      <c r="F182" s="29">
        <v>206.73</v>
      </c>
      <c r="G182" s="29">
        <v>0</v>
      </c>
      <c r="H182" s="29">
        <v>0</v>
      </c>
      <c r="I182" s="29">
        <v>0</v>
      </c>
      <c r="J182" s="29">
        <f>SUM(D182:I182)</f>
        <v>23059.45</v>
      </c>
      <c r="K182" s="8"/>
      <c r="L182" s="8"/>
    </row>
    <row r="183" spans="1:12">
      <c r="A183" s="57"/>
      <c r="B183" s="57"/>
      <c r="C183" s="57"/>
      <c r="D183" s="20"/>
      <c r="E183" s="20"/>
      <c r="F183" s="20"/>
      <c r="G183" s="20"/>
      <c r="H183" s="20"/>
      <c r="I183" s="20"/>
      <c r="J183" s="20"/>
      <c r="K183" s="8"/>
      <c r="L183" s="8"/>
    </row>
    <row r="184" spans="1:12" ht="16.5" thickBot="1">
      <c r="A184" s="57"/>
      <c r="B184" s="57"/>
      <c r="C184" s="57" t="s">
        <v>10</v>
      </c>
      <c r="D184" s="31">
        <f t="shared" ref="D184:I184" si="28">SUM(D182:D183)</f>
        <v>22407.99</v>
      </c>
      <c r="E184" s="31">
        <f t="shared" si="28"/>
        <v>444.73</v>
      </c>
      <c r="F184" s="31">
        <f t="shared" si="28"/>
        <v>206.73</v>
      </c>
      <c r="G184" s="31">
        <f t="shared" si="28"/>
        <v>0</v>
      </c>
      <c r="H184" s="31">
        <f t="shared" si="28"/>
        <v>0</v>
      </c>
      <c r="I184" s="31">
        <f t="shared" si="28"/>
        <v>0</v>
      </c>
      <c r="J184" s="31">
        <f>SUM(D184:I184)</f>
        <v>23059.45</v>
      </c>
      <c r="K184" s="8"/>
      <c r="L184" s="8"/>
    </row>
    <row r="185" spans="1:12" ht="16.5" thickTop="1">
      <c r="A185" s="57"/>
      <c r="B185" s="57"/>
      <c r="C185" s="57"/>
      <c r="D185" s="20"/>
      <c r="E185" s="20"/>
      <c r="F185" s="20"/>
      <c r="G185" s="20"/>
      <c r="H185" s="20"/>
      <c r="I185" s="20"/>
      <c r="J185" s="20"/>
      <c r="K185" s="8"/>
      <c r="L185" s="8"/>
    </row>
    <row r="186" spans="1:12">
      <c r="A186" s="57"/>
      <c r="B186" s="57"/>
      <c r="C186" s="57"/>
      <c r="D186" s="20"/>
      <c r="E186" s="20"/>
      <c r="F186" s="20"/>
      <c r="G186" s="20"/>
      <c r="H186" s="20"/>
      <c r="I186" s="20"/>
      <c r="J186" s="20"/>
      <c r="K186" s="8"/>
      <c r="L186" s="8"/>
    </row>
    <row r="187" spans="1:12">
      <c r="A187" s="57">
        <v>50</v>
      </c>
      <c r="B187" s="57" t="s">
        <v>44</v>
      </c>
      <c r="C187" s="57" t="s">
        <v>12</v>
      </c>
      <c r="D187" s="20">
        <v>6130.6</v>
      </c>
      <c r="E187" s="20">
        <v>76.98</v>
      </c>
      <c r="F187" s="20">
        <v>78.53</v>
      </c>
      <c r="G187" s="20">
        <v>0</v>
      </c>
      <c r="H187" s="20">
        <v>0</v>
      </c>
      <c r="I187" s="20">
        <v>0</v>
      </c>
      <c r="J187" s="20">
        <f>SUM(D187:I187)</f>
        <v>6286.11</v>
      </c>
      <c r="K187" s="8"/>
      <c r="L187" s="8"/>
    </row>
    <row r="188" spans="1:12" ht="16.5" thickBot="1">
      <c r="A188" s="57"/>
      <c r="B188" s="57"/>
      <c r="C188" s="57" t="s">
        <v>13</v>
      </c>
      <c r="D188" s="29">
        <v>1199.0999999999999</v>
      </c>
      <c r="E188" s="29">
        <v>1.21</v>
      </c>
      <c r="F188" s="29">
        <v>0.35</v>
      </c>
      <c r="G188" s="29">
        <v>0</v>
      </c>
      <c r="H188" s="29">
        <v>0</v>
      </c>
      <c r="I188" s="29">
        <v>0</v>
      </c>
      <c r="J188" s="29">
        <f>SUM(D188:I188)</f>
        <v>1200.6599999999999</v>
      </c>
      <c r="K188" s="8"/>
      <c r="L188" s="8"/>
    </row>
    <row r="189" spans="1:12">
      <c r="A189" s="57"/>
      <c r="B189" s="57"/>
      <c r="C189" s="57"/>
      <c r="D189" s="20"/>
      <c r="E189" s="20"/>
      <c r="F189" s="20"/>
      <c r="G189" s="20"/>
      <c r="H189" s="20"/>
      <c r="I189" s="20"/>
      <c r="J189" s="20"/>
      <c r="K189" s="8"/>
      <c r="L189" s="8"/>
    </row>
    <row r="190" spans="1:12" ht="16.5" thickBot="1">
      <c r="A190" s="57"/>
      <c r="B190" s="57"/>
      <c r="C190" s="57" t="s">
        <v>10</v>
      </c>
      <c r="D190" s="31">
        <f t="shared" ref="D190:I190" si="29">SUM(D187:D188)</f>
        <v>7329.7000000000007</v>
      </c>
      <c r="E190" s="31">
        <f t="shared" si="29"/>
        <v>78.19</v>
      </c>
      <c r="F190" s="31">
        <f t="shared" si="29"/>
        <v>78.88</v>
      </c>
      <c r="G190" s="31">
        <f t="shared" si="29"/>
        <v>0</v>
      </c>
      <c r="H190" s="31">
        <f t="shared" si="29"/>
        <v>0</v>
      </c>
      <c r="I190" s="31">
        <f t="shared" si="29"/>
        <v>0</v>
      </c>
      <c r="J190" s="31">
        <f>SUM(D190:I190)</f>
        <v>7486.77</v>
      </c>
      <c r="K190" s="8"/>
      <c r="L190" s="8"/>
    </row>
    <row r="191" spans="1:12" ht="16.5" thickTop="1">
      <c r="A191" s="57"/>
      <c r="B191" s="57"/>
      <c r="C191" s="57"/>
      <c r="D191" s="20"/>
      <c r="E191" s="20"/>
      <c r="F191" s="20"/>
      <c r="G191" s="20"/>
      <c r="H191" s="20"/>
      <c r="I191" s="20"/>
      <c r="J191" s="20"/>
      <c r="K191" s="8"/>
      <c r="L191" s="8"/>
    </row>
    <row r="192" spans="1:12">
      <c r="A192" s="57"/>
      <c r="B192" s="57"/>
      <c r="C192" s="57"/>
      <c r="D192" s="20"/>
      <c r="E192" s="20"/>
      <c r="F192" s="20"/>
      <c r="G192" s="20"/>
      <c r="H192" s="20"/>
      <c r="I192" s="20"/>
      <c r="J192" s="20"/>
      <c r="K192" s="8"/>
      <c r="L192" s="8"/>
    </row>
    <row r="193" spans="1:12" ht="16.5" thickBot="1">
      <c r="A193" s="57">
        <v>51</v>
      </c>
      <c r="B193" s="57" t="s">
        <v>45</v>
      </c>
      <c r="C193" s="57" t="s">
        <v>12</v>
      </c>
      <c r="D193" s="29">
        <v>10656.24</v>
      </c>
      <c r="E193" s="29">
        <v>180.25</v>
      </c>
      <c r="F193" s="29">
        <v>0</v>
      </c>
      <c r="G193" s="29">
        <v>0</v>
      </c>
      <c r="H193" s="29">
        <v>0</v>
      </c>
      <c r="I193" s="29">
        <v>0</v>
      </c>
      <c r="J193" s="29">
        <f>SUM(D193:I193)</f>
        <v>10836.49</v>
      </c>
      <c r="K193" s="8"/>
      <c r="L193" s="8"/>
    </row>
    <row r="194" spans="1:12" hidden="1">
      <c r="A194" s="57"/>
      <c r="B194" s="57"/>
      <c r="C194" s="57" t="s">
        <v>13</v>
      </c>
      <c r="D194" s="20"/>
      <c r="E194" s="20"/>
      <c r="F194" s="20"/>
      <c r="G194" s="20"/>
      <c r="H194" s="20"/>
      <c r="I194" s="20"/>
      <c r="J194" s="20">
        <f>SUM(D194:I194)</f>
        <v>0</v>
      </c>
      <c r="K194" s="8"/>
      <c r="L194" s="8"/>
    </row>
    <row r="195" spans="1:12" ht="16.5" hidden="1" thickBot="1">
      <c r="A195" s="57"/>
      <c r="B195" s="57"/>
      <c r="C195" s="57" t="s">
        <v>46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f>SUM(D195:I195)</f>
        <v>0</v>
      </c>
      <c r="K195" s="8"/>
      <c r="L195" s="8"/>
    </row>
    <row r="196" spans="1:12">
      <c r="A196" s="57"/>
      <c r="B196" s="57"/>
      <c r="C196" s="57"/>
      <c r="D196" s="20"/>
      <c r="E196" s="20"/>
      <c r="F196" s="20"/>
      <c r="G196" s="20"/>
      <c r="H196" s="20"/>
      <c r="I196" s="20"/>
      <c r="J196" s="20"/>
      <c r="K196" s="8"/>
      <c r="L196" s="8"/>
    </row>
    <row r="197" spans="1:12" ht="16.5" thickBot="1">
      <c r="A197" s="57"/>
      <c r="B197" s="57"/>
      <c r="C197" s="57" t="s">
        <v>10</v>
      </c>
      <c r="D197" s="31">
        <f t="shared" ref="D197:I197" si="30">SUM(D193:D195)</f>
        <v>10656.24</v>
      </c>
      <c r="E197" s="31">
        <f t="shared" si="30"/>
        <v>180.25</v>
      </c>
      <c r="F197" s="31">
        <f t="shared" si="30"/>
        <v>0</v>
      </c>
      <c r="G197" s="31">
        <f t="shared" si="30"/>
        <v>0</v>
      </c>
      <c r="H197" s="31">
        <f t="shared" si="30"/>
        <v>0</v>
      </c>
      <c r="I197" s="31">
        <f t="shared" si="30"/>
        <v>0</v>
      </c>
      <c r="J197" s="31">
        <f>SUM(D197:I197)</f>
        <v>10836.49</v>
      </c>
      <c r="K197" s="8"/>
      <c r="L197" s="8"/>
    </row>
    <row r="198" spans="1:12" ht="16.5" thickTop="1">
      <c r="A198" s="57"/>
      <c r="B198" s="57"/>
      <c r="C198" s="57"/>
      <c r="D198" s="20"/>
      <c r="E198" s="20"/>
      <c r="F198" s="20"/>
      <c r="G198" s="20"/>
      <c r="H198" s="20"/>
      <c r="I198" s="20"/>
      <c r="J198" s="20"/>
      <c r="K198" s="8"/>
      <c r="L198" s="8"/>
    </row>
    <row r="199" spans="1:12">
      <c r="A199" s="57"/>
      <c r="B199" s="57"/>
      <c r="C199" s="57"/>
      <c r="D199" s="20"/>
      <c r="E199" s="20"/>
      <c r="F199" s="20"/>
      <c r="G199" s="20"/>
      <c r="H199" s="20"/>
      <c r="I199" s="20"/>
      <c r="J199" s="20"/>
      <c r="K199" s="8"/>
      <c r="L199" s="8"/>
    </row>
    <row r="200" spans="1:12">
      <c r="A200" s="57">
        <v>52</v>
      </c>
      <c r="B200" s="57" t="s">
        <v>47</v>
      </c>
      <c r="C200" s="57" t="s">
        <v>12</v>
      </c>
      <c r="D200" s="25">
        <v>16907.03</v>
      </c>
      <c r="E200" s="25">
        <v>214.09</v>
      </c>
      <c r="F200" s="25">
        <v>69.97</v>
      </c>
      <c r="G200" s="25">
        <v>0</v>
      </c>
      <c r="H200" s="25">
        <v>0</v>
      </c>
      <c r="I200" s="25">
        <v>0</v>
      </c>
      <c r="J200" s="25">
        <f>SUM(D200:I200)</f>
        <v>17191.09</v>
      </c>
      <c r="K200" s="8"/>
      <c r="L200" s="8"/>
    </row>
    <row r="201" spans="1:12" ht="16.5" hidden="1" thickBot="1">
      <c r="A201" s="57"/>
      <c r="B201" s="57"/>
      <c r="C201" s="57" t="s">
        <v>13</v>
      </c>
      <c r="D201" s="29"/>
      <c r="E201" s="29"/>
      <c r="F201" s="29"/>
      <c r="G201" s="29"/>
      <c r="H201" s="29"/>
      <c r="I201" s="29"/>
      <c r="J201" s="29">
        <v>0</v>
      </c>
      <c r="K201" s="8"/>
      <c r="L201" s="8"/>
    </row>
    <row r="202" spans="1:12">
      <c r="A202" s="57"/>
      <c r="B202" s="57"/>
      <c r="C202" s="57"/>
      <c r="D202" s="20"/>
      <c r="E202" s="20"/>
      <c r="F202" s="20"/>
      <c r="G202" s="20"/>
      <c r="H202" s="20"/>
      <c r="I202" s="20"/>
      <c r="J202" s="20"/>
      <c r="K202" s="8"/>
      <c r="L202" s="8"/>
    </row>
    <row r="203" spans="1:12" ht="16.5" thickBot="1">
      <c r="A203" s="57"/>
      <c r="B203" s="57"/>
      <c r="C203" s="57" t="s">
        <v>10</v>
      </c>
      <c r="D203" s="31">
        <f t="shared" ref="D203:I203" si="31">SUM(D200:D201)</f>
        <v>16907.03</v>
      </c>
      <c r="E203" s="31">
        <f t="shared" si="31"/>
        <v>214.09</v>
      </c>
      <c r="F203" s="31">
        <f t="shared" si="31"/>
        <v>69.97</v>
      </c>
      <c r="G203" s="31">
        <f t="shared" si="31"/>
        <v>0</v>
      </c>
      <c r="H203" s="31">
        <f t="shared" si="31"/>
        <v>0</v>
      </c>
      <c r="I203" s="31">
        <f t="shared" si="31"/>
        <v>0</v>
      </c>
      <c r="J203" s="31">
        <f>SUM(D203:I203)</f>
        <v>17191.09</v>
      </c>
      <c r="K203" s="8"/>
      <c r="L203" s="8"/>
    </row>
    <row r="204" spans="1:12" ht="16.5" thickTop="1">
      <c r="A204" s="57"/>
      <c r="B204" s="57"/>
      <c r="C204" s="57"/>
      <c r="D204" s="20"/>
      <c r="E204" s="20"/>
      <c r="F204" s="20"/>
      <c r="G204" s="20"/>
      <c r="H204" s="20"/>
      <c r="I204" s="20"/>
      <c r="J204" s="20"/>
      <c r="K204" s="8"/>
      <c r="L204" s="8"/>
    </row>
    <row r="205" spans="1:12">
      <c r="A205" s="57"/>
      <c r="B205" s="57"/>
      <c r="C205" s="57"/>
      <c r="D205" s="20"/>
      <c r="E205" s="20"/>
      <c r="F205" s="20"/>
      <c r="G205" s="20"/>
      <c r="H205" s="20"/>
      <c r="I205" s="20"/>
      <c r="J205" s="20"/>
      <c r="K205" s="8"/>
      <c r="L205" s="8"/>
    </row>
    <row r="206" spans="1:12" ht="16.5" thickBot="1">
      <c r="A206" s="57">
        <v>53</v>
      </c>
      <c r="B206" s="57" t="s">
        <v>48</v>
      </c>
      <c r="C206" s="57" t="s">
        <v>12</v>
      </c>
      <c r="D206" s="29">
        <v>43835.24</v>
      </c>
      <c r="E206" s="29">
        <v>113.93</v>
      </c>
      <c r="F206" s="29">
        <v>84.4</v>
      </c>
      <c r="G206" s="29">
        <v>0</v>
      </c>
      <c r="H206" s="29">
        <v>0</v>
      </c>
      <c r="I206" s="29">
        <v>0</v>
      </c>
      <c r="J206" s="29">
        <f>SUM(D206:I206)</f>
        <v>44033.57</v>
      </c>
      <c r="K206" s="8"/>
      <c r="L206" s="8"/>
    </row>
    <row r="207" spans="1:12" hidden="1">
      <c r="A207" s="57"/>
      <c r="B207" s="57"/>
      <c r="C207" s="57" t="s">
        <v>35</v>
      </c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f>SUM(D207:I207)</f>
        <v>0</v>
      </c>
      <c r="K207" s="8"/>
      <c r="L207" s="8"/>
    </row>
    <row r="208" spans="1:12" hidden="1">
      <c r="A208" s="57"/>
      <c r="B208" s="57"/>
      <c r="C208" s="57" t="s">
        <v>97</v>
      </c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f>SUM(D208:I208)</f>
        <v>0</v>
      </c>
      <c r="K208" s="8"/>
      <c r="L208" s="8"/>
    </row>
    <row r="209" spans="1:12" ht="16.5" hidden="1" thickBot="1">
      <c r="A209" s="57"/>
      <c r="B209" s="57"/>
      <c r="C209" s="57" t="s">
        <v>98</v>
      </c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f>SUM(D209:I209)</f>
        <v>0</v>
      </c>
      <c r="K209" s="8"/>
      <c r="L209" s="8"/>
    </row>
    <row r="210" spans="1:12">
      <c r="A210" s="57"/>
      <c r="B210" s="57"/>
      <c r="C210" s="57"/>
      <c r="D210" s="20"/>
      <c r="E210" s="20"/>
      <c r="F210" s="20"/>
      <c r="G210" s="20"/>
      <c r="H210" s="20"/>
      <c r="I210" s="20"/>
      <c r="J210" s="20"/>
      <c r="K210" s="8"/>
      <c r="L210" s="8"/>
    </row>
    <row r="211" spans="1:12" ht="16.5" thickBot="1">
      <c r="A211" s="57"/>
      <c r="B211" s="57"/>
      <c r="C211" s="57" t="s">
        <v>10</v>
      </c>
      <c r="D211" s="31">
        <f>SUM(D206:D210)</f>
        <v>43835.24</v>
      </c>
      <c r="E211" s="31">
        <f t="shared" ref="E211:J211" si="32">SUM(E206:E210)</f>
        <v>113.93</v>
      </c>
      <c r="F211" s="31">
        <f t="shared" si="32"/>
        <v>84.4</v>
      </c>
      <c r="G211" s="31">
        <f t="shared" si="32"/>
        <v>0</v>
      </c>
      <c r="H211" s="31">
        <f t="shared" si="32"/>
        <v>0</v>
      </c>
      <c r="I211" s="31">
        <f t="shared" si="32"/>
        <v>0</v>
      </c>
      <c r="J211" s="31">
        <f t="shared" si="32"/>
        <v>44033.57</v>
      </c>
      <c r="K211" s="8"/>
      <c r="L211" s="8"/>
    </row>
    <row r="212" spans="1:12" ht="16.5" thickTop="1">
      <c r="A212" s="57"/>
      <c r="B212" s="57"/>
      <c r="C212" s="57"/>
      <c r="D212" s="20"/>
      <c r="E212" s="20"/>
      <c r="F212" s="20"/>
      <c r="G212" s="20"/>
      <c r="H212" s="20"/>
      <c r="I212" s="20"/>
      <c r="J212" s="20"/>
      <c r="K212" s="8"/>
      <c r="L212" s="8"/>
    </row>
    <row r="213" spans="1:12">
      <c r="A213" s="57"/>
      <c r="B213" s="57"/>
      <c r="C213" s="57"/>
      <c r="D213" s="20"/>
      <c r="E213" s="20"/>
      <c r="F213" s="20"/>
      <c r="G213" s="20"/>
      <c r="H213" s="20"/>
      <c r="I213" s="20"/>
      <c r="J213" s="20"/>
      <c r="K213" s="8"/>
      <c r="L213" s="8"/>
    </row>
    <row r="214" spans="1:12">
      <c r="A214" s="57">
        <v>54</v>
      </c>
      <c r="B214" s="57" t="s">
        <v>49</v>
      </c>
      <c r="C214" s="57" t="s">
        <v>12</v>
      </c>
      <c r="D214" s="25">
        <v>15402.59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f>SUM(D214:I214)</f>
        <v>15402.59</v>
      </c>
      <c r="K214" s="8"/>
      <c r="L214" s="8"/>
    </row>
    <row r="215" spans="1:12" ht="16.5" hidden="1" thickBot="1">
      <c r="A215" s="57"/>
      <c r="B215" s="57"/>
      <c r="C215" s="57" t="s">
        <v>104</v>
      </c>
      <c r="D215" s="29"/>
      <c r="E215" s="29"/>
      <c r="F215" s="29"/>
      <c r="G215" s="29"/>
      <c r="H215" s="29"/>
      <c r="I215" s="29"/>
      <c r="J215" s="29">
        <f>SUM(D215:I215)</f>
        <v>0</v>
      </c>
      <c r="K215" s="8"/>
      <c r="L215" s="8"/>
    </row>
    <row r="216" spans="1:12">
      <c r="A216" s="57"/>
      <c r="B216" s="57"/>
      <c r="C216" s="57"/>
      <c r="D216" s="20"/>
      <c r="E216" s="20"/>
      <c r="F216" s="20"/>
      <c r="G216" s="20"/>
      <c r="H216" s="20"/>
      <c r="I216" s="20"/>
      <c r="J216" s="20"/>
      <c r="K216" s="8"/>
      <c r="L216" s="8"/>
    </row>
    <row r="217" spans="1:12" ht="16.5" thickBot="1">
      <c r="A217" s="57"/>
      <c r="B217" s="57"/>
      <c r="C217" s="57" t="s">
        <v>10</v>
      </c>
      <c r="D217" s="31">
        <f t="shared" ref="D217:I217" si="33">SUM(D214:D216)</f>
        <v>15402.59</v>
      </c>
      <c r="E217" s="31">
        <f t="shared" si="33"/>
        <v>0</v>
      </c>
      <c r="F217" s="31">
        <f t="shared" si="33"/>
        <v>0</v>
      </c>
      <c r="G217" s="31">
        <f t="shared" si="33"/>
        <v>0</v>
      </c>
      <c r="H217" s="31">
        <f t="shared" si="33"/>
        <v>0</v>
      </c>
      <c r="I217" s="31">
        <f t="shared" si="33"/>
        <v>0</v>
      </c>
      <c r="J217" s="31">
        <f>SUM(D217:I217)</f>
        <v>15402.59</v>
      </c>
      <c r="K217" s="8"/>
      <c r="L217" s="8"/>
    </row>
    <row r="218" spans="1:12" ht="16.5" thickTop="1">
      <c r="A218" s="57"/>
      <c r="B218" s="57"/>
      <c r="C218" s="57"/>
      <c r="D218" s="20"/>
      <c r="E218" s="20"/>
      <c r="F218" s="20"/>
      <c r="G218" s="20"/>
      <c r="H218" s="20"/>
      <c r="I218" s="20"/>
      <c r="J218" s="20"/>
      <c r="K218" s="8"/>
      <c r="L218" s="8"/>
    </row>
    <row r="219" spans="1:12">
      <c r="A219" s="57"/>
      <c r="B219" s="57"/>
      <c r="C219" s="57"/>
      <c r="D219" s="20"/>
      <c r="E219" s="20"/>
      <c r="F219" s="20"/>
      <c r="G219" s="20"/>
      <c r="H219" s="20"/>
      <c r="I219" s="20"/>
      <c r="J219" s="20"/>
      <c r="K219" s="8"/>
      <c r="L219" s="8"/>
    </row>
    <row r="220" spans="1:12">
      <c r="A220" s="57">
        <v>55</v>
      </c>
      <c r="B220" s="57" t="s">
        <v>50</v>
      </c>
      <c r="C220" s="57" t="s">
        <v>12</v>
      </c>
      <c r="D220" s="20">
        <v>38756.75</v>
      </c>
      <c r="E220" s="20">
        <v>1146.82</v>
      </c>
      <c r="F220" s="20">
        <v>85.99</v>
      </c>
      <c r="G220" s="20">
        <v>0</v>
      </c>
      <c r="H220" s="20">
        <v>0</v>
      </c>
      <c r="I220" s="20">
        <v>0</v>
      </c>
      <c r="J220" s="20">
        <f>SUM(D220:I220)</f>
        <v>39989.56</v>
      </c>
      <c r="K220" s="8"/>
      <c r="L220" s="8"/>
    </row>
    <row r="221" spans="1:12" ht="16.5" thickBot="1">
      <c r="A221" s="57"/>
      <c r="B221" s="57"/>
      <c r="C221" s="57" t="s">
        <v>13</v>
      </c>
      <c r="D221" s="29">
        <v>557.53</v>
      </c>
      <c r="E221" s="29">
        <v>13.31</v>
      </c>
      <c r="F221" s="29">
        <v>2.19</v>
      </c>
      <c r="G221" s="29">
        <v>0</v>
      </c>
      <c r="H221" s="29">
        <v>0</v>
      </c>
      <c r="I221" s="29">
        <v>0</v>
      </c>
      <c r="J221" s="29">
        <f>SUM(D221:I221)</f>
        <v>573.03</v>
      </c>
      <c r="K221" s="8"/>
      <c r="L221" s="8"/>
    </row>
    <row r="222" spans="1:12">
      <c r="A222" s="57"/>
      <c r="B222" s="57"/>
      <c r="C222" s="57"/>
      <c r="D222" s="20"/>
      <c r="E222" s="20"/>
      <c r="F222" s="20"/>
      <c r="G222" s="20"/>
      <c r="H222" s="20"/>
      <c r="I222" s="20"/>
      <c r="J222" s="20"/>
      <c r="K222" s="8"/>
      <c r="L222" s="8"/>
    </row>
    <row r="223" spans="1:12" ht="16.5" thickBot="1">
      <c r="A223" s="57"/>
      <c r="B223" s="57"/>
      <c r="C223" s="57" t="s">
        <v>10</v>
      </c>
      <c r="D223" s="31">
        <f t="shared" ref="D223:I223" si="34">SUM(D220:D221)</f>
        <v>39314.28</v>
      </c>
      <c r="E223" s="31">
        <f t="shared" si="34"/>
        <v>1160.1299999999999</v>
      </c>
      <c r="F223" s="31">
        <f t="shared" si="34"/>
        <v>88.179999999999993</v>
      </c>
      <c r="G223" s="31">
        <f t="shared" si="34"/>
        <v>0</v>
      </c>
      <c r="H223" s="31">
        <f t="shared" si="34"/>
        <v>0</v>
      </c>
      <c r="I223" s="31">
        <f t="shared" si="34"/>
        <v>0</v>
      </c>
      <c r="J223" s="31">
        <f>SUM(D223:I223)</f>
        <v>40562.589999999997</v>
      </c>
      <c r="K223" s="8"/>
      <c r="L223" s="8"/>
    </row>
    <row r="224" spans="1:12" ht="16.5" thickTop="1">
      <c r="A224" s="57"/>
      <c r="B224" s="57"/>
      <c r="C224" s="57"/>
      <c r="D224" s="20"/>
      <c r="E224" s="20"/>
      <c r="F224" s="20"/>
      <c r="G224" s="20"/>
      <c r="H224" s="20"/>
      <c r="I224" s="20"/>
      <c r="J224" s="20"/>
      <c r="K224" s="8"/>
      <c r="L224" s="8"/>
    </row>
    <row r="225" spans="1:12">
      <c r="A225" s="57"/>
      <c r="B225" s="57"/>
      <c r="C225" s="57"/>
      <c r="D225" s="20"/>
      <c r="E225" s="20"/>
      <c r="F225" s="20"/>
      <c r="G225" s="20"/>
      <c r="H225" s="20"/>
      <c r="I225" s="20"/>
      <c r="J225" s="20"/>
      <c r="K225" s="8"/>
      <c r="L225" s="8"/>
    </row>
    <row r="226" spans="1:12">
      <c r="A226" s="57">
        <v>56</v>
      </c>
      <c r="B226" s="57" t="s">
        <v>51</v>
      </c>
      <c r="C226" s="57" t="s">
        <v>12</v>
      </c>
      <c r="D226" s="20">
        <v>29490.16</v>
      </c>
      <c r="E226" s="20">
        <v>658.09</v>
      </c>
      <c r="F226" s="20">
        <v>0</v>
      </c>
      <c r="G226" s="20">
        <v>0</v>
      </c>
      <c r="H226" s="20">
        <v>0</v>
      </c>
      <c r="I226" s="20">
        <v>0</v>
      </c>
      <c r="J226" s="20">
        <f>SUM(D226:I226)</f>
        <v>30148.25</v>
      </c>
      <c r="K226" s="8"/>
      <c r="L226" s="8"/>
    </row>
    <row r="227" spans="1:12" ht="16.5" thickBot="1">
      <c r="A227" s="57"/>
      <c r="B227" s="57"/>
      <c r="C227" s="57" t="s">
        <v>13</v>
      </c>
      <c r="D227" s="29">
        <v>1696.64</v>
      </c>
      <c r="E227" s="29">
        <v>36.08</v>
      </c>
      <c r="F227" s="29">
        <v>0</v>
      </c>
      <c r="G227" s="29">
        <v>0</v>
      </c>
      <c r="H227" s="29">
        <v>0</v>
      </c>
      <c r="I227" s="29">
        <v>0</v>
      </c>
      <c r="J227" s="29">
        <f>SUM(D227:I227)</f>
        <v>1732.72</v>
      </c>
      <c r="K227" s="8"/>
      <c r="L227" s="8"/>
    </row>
    <row r="228" spans="1:12">
      <c r="A228" s="57"/>
      <c r="B228" s="57"/>
      <c r="C228" s="57"/>
      <c r="D228" s="20"/>
      <c r="E228" s="20"/>
      <c r="F228" s="20"/>
      <c r="G228" s="20"/>
      <c r="H228" s="20"/>
      <c r="I228" s="20"/>
      <c r="J228" s="20"/>
      <c r="K228" s="8"/>
      <c r="L228" s="8"/>
    </row>
    <row r="229" spans="1:12" ht="16.5" thickBot="1">
      <c r="A229" s="57"/>
      <c r="B229" s="57"/>
      <c r="C229" s="57" t="s">
        <v>10</v>
      </c>
      <c r="D229" s="31">
        <f t="shared" ref="D229:I229" si="35">SUM(D226:D227)</f>
        <v>31186.799999999999</v>
      </c>
      <c r="E229" s="31">
        <f t="shared" si="35"/>
        <v>694.17000000000007</v>
      </c>
      <c r="F229" s="31">
        <f t="shared" si="35"/>
        <v>0</v>
      </c>
      <c r="G229" s="31">
        <f t="shared" si="35"/>
        <v>0</v>
      </c>
      <c r="H229" s="31">
        <f t="shared" si="35"/>
        <v>0</v>
      </c>
      <c r="I229" s="31">
        <f t="shared" si="35"/>
        <v>0</v>
      </c>
      <c r="J229" s="31">
        <f>SUM(D229:I229)</f>
        <v>31880.97</v>
      </c>
      <c r="K229" s="8"/>
      <c r="L229" s="8"/>
    </row>
    <row r="230" spans="1:12" ht="16.5" thickTop="1">
      <c r="A230" s="57"/>
      <c r="B230" s="57"/>
      <c r="C230" s="57"/>
      <c r="D230" s="20"/>
      <c r="E230" s="20"/>
      <c r="F230" s="20"/>
      <c r="G230" s="20"/>
      <c r="H230" s="20"/>
      <c r="I230" s="20"/>
      <c r="J230" s="20"/>
      <c r="K230" s="8"/>
      <c r="L230" s="8"/>
    </row>
    <row r="231" spans="1:12">
      <c r="A231" s="57"/>
      <c r="B231" s="57"/>
      <c r="C231" s="57"/>
      <c r="D231" s="20"/>
      <c r="E231" s="20"/>
      <c r="F231" s="20"/>
      <c r="G231" s="20"/>
      <c r="H231" s="20"/>
      <c r="I231" s="20"/>
      <c r="J231" s="20"/>
      <c r="K231" s="8"/>
      <c r="L231" s="8"/>
    </row>
    <row r="232" spans="1:12">
      <c r="A232" s="57">
        <v>57</v>
      </c>
      <c r="B232" s="57" t="s">
        <v>52</v>
      </c>
      <c r="C232" s="57" t="s">
        <v>12</v>
      </c>
      <c r="D232" s="20">
        <v>35163.14</v>
      </c>
      <c r="E232" s="20">
        <v>811.43</v>
      </c>
      <c r="F232" s="20">
        <v>414.46</v>
      </c>
      <c r="G232" s="20">
        <v>0</v>
      </c>
      <c r="H232" s="20">
        <v>0</v>
      </c>
      <c r="I232" s="20">
        <v>0</v>
      </c>
      <c r="J232" s="20">
        <f>SUM(D232:I232)</f>
        <v>36389.03</v>
      </c>
      <c r="K232" s="8"/>
      <c r="L232" s="8"/>
    </row>
    <row r="233" spans="1:12" hidden="1">
      <c r="A233" s="57"/>
      <c r="B233" s="57"/>
      <c r="C233" s="57" t="s">
        <v>13</v>
      </c>
      <c r="D233" s="20"/>
      <c r="E233" s="20"/>
      <c r="F233" s="20"/>
      <c r="G233" s="20">
        <v>0</v>
      </c>
      <c r="H233" s="20">
        <v>0</v>
      </c>
      <c r="I233" s="20">
        <v>0</v>
      </c>
      <c r="J233" s="20">
        <f t="shared" ref="J233:J234" si="36">SUM(D233:I233)</f>
        <v>0</v>
      </c>
      <c r="K233" s="8"/>
      <c r="L233" s="8"/>
    </row>
    <row r="234" spans="1:12" ht="16.5" thickBot="1">
      <c r="A234" s="57"/>
      <c r="B234" s="57"/>
      <c r="C234" s="57" t="s">
        <v>13</v>
      </c>
      <c r="D234" s="29">
        <v>641.80999999999995</v>
      </c>
      <c r="E234" s="29">
        <v>14.87</v>
      </c>
      <c r="F234" s="29">
        <v>7.97</v>
      </c>
      <c r="G234" s="29">
        <v>0</v>
      </c>
      <c r="H234" s="29">
        <v>0</v>
      </c>
      <c r="I234" s="29">
        <v>0</v>
      </c>
      <c r="J234" s="29">
        <f t="shared" si="36"/>
        <v>664.65</v>
      </c>
      <c r="K234" s="8"/>
      <c r="L234" s="8"/>
    </row>
    <row r="235" spans="1:12" ht="16.5" hidden="1" thickBot="1">
      <c r="A235" s="57"/>
      <c r="B235" s="57"/>
      <c r="C235" s="57" t="s">
        <v>109</v>
      </c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f>SUM(D235:I235)</f>
        <v>0</v>
      </c>
      <c r="K235" s="8"/>
      <c r="L235" s="8"/>
    </row>
    <row r="236" spans="1:12">
      <c r="A236" s="57"/>
      <c r="B236" s="57"/>
      <c r="C236" s="57"/>
      <c r="D236" s="20"/>
      <c r="E236" s="20"/>
      <c r="F236" s="20"/>
      <c r="G236" s="20"/>
      <c r="H236" s="20"/>
      <c r="I236" s="20"/>
      <c r="J236" s="20"/>
      <c r="K236" s="8"/>
      <c r="L236" s="8"/>
    </row>
    <row r="237" spans="1:12" ht="16.5" thickBot="1">
      <c r="A237" s="57"/>
      <c r="B237" s="57"/>
      <c r="C237" s="57" t="s">
        <v>10</v>
      </c>
      <c r="D237" s="31">
        <f t="shared" ref="D237:I237" si="37">SUM(D232:D235)</f>
        <v>35804.949999999997</v>
      </c>
      <c r="E237" s="31">
        <f t="shared" si="37"/>
        <v>826.3</v>
      </c>
      <c r="F237" s="31">
        <f t="shared" si="37"/>
        <v>422.43</v>
      </c>
      <c r="G237" s="31">
        <f t="shared" si="37"/>
        <v>0</v>
      </c>
      <c r="H237" s="31">
        <f t="shared" si="37"/>
        <v>0</v>
      </c>
      <c r="I237" s="31">
        <f t="shared" si="37"/>
        <v>0</v>
      </c>
      <c r="J237" s="31">
        <f>SUM(D237:I237)</f>
        <v>37053.68</v>
      </c>
      <c r="K237" s="8"/>
      <c r="L237" s="8"/>
    </row>
    <row r="238" spans="1:12" ht="16.5" thickTop="1">
      <c r="A238" s="57"/>
      <c r="B238" s="57"/>
      <c r="C238" s="57"/>
      <c r="D238" s="20"/>
      <c r="E238" s="20"/>
      <c r="F238" s="20"/>
      <c r="G238" s="20"/>
      <c r="H238" s="20"/>
      <c r="I238" s="20"/>
      <c r="J238" s="20"/>
      <c r="K238" s="8"/>
      <c r="L238" s="8"/>
    </row>
    <row r="239" spans="1:12">
      <c r="A239" s="57"/>
      <c r="B239" s="57"/>
      <c r="C239" s="57"/>
      <c r="D239" s="20"/>
      <c r="E239" s="20"/>
      <c r="F239" s="20"/>
      <c r="G239" s="20"/>
      <c r="H239" s="20"/>
      <c r="I239" s="20"/>
      <c r="J239" s="20"/>
      <c r="K239" s="8"/>
      <c r="L239" s="8"/>
    </row>
    <row r="240" spans="1:12">
      <c r="A240" s="57">
        <v>58</v>
      </c>
      <c r="B240" s="57" t="s">
        <v>53</v>
      </c>
      <c r="C240" s="57" t="s">
        <v>12</v>
      </c>
      <c r="D240" s="20">
        <v>20361.419999999998</v>
      </c>
      <c r="E240" s="20">
        <v>8.84</v>
      </c>
      <c r="F240" s="20">
        <v>0</v>
      </c>
      <c r="G240" s="20">
        <v>0</v>
      </c>
      <c r="H240" s="20">
        <v>0</v>
      </c>
      <c r="I240" s="20">
        <v>0</v>
      </c>
      <c r="J240" s="20">
        <f>SUM(D240:I240)</f>
        <v>20370.259999999998</v>
      </c>
      <c r="K240" s="8"/>
      <c r="L240" s="8"/>
    </row>
    <row r="241" spans="1:12" ht="16.5" thickBot="1">
      <c r="A241" s="57"/>
      <c r="B241" s="57"/>
      <c r="C241" s="57" t="s">
        <v>116</v>
      </c>
      <c r="D241" s="29">
        <v>27279.200000000001</v>
      </c>
      <c r="E241" s="29">
        <v>13.38</v>
      </c>
      <c r="F241" s="29">
        <v>0</v>
      </c>
      <c r="G241" s="29"/>
      <c r="H241" s="29"/>
      <c r="I241" s="29"/>
      <c r="J241" s="29">
        <v>0</v>
      </c>
      <c r="K241" s="8"/>
      <c r="L241" s="8"/>
    </row>
    <row r="242" spans="1:12">
      <c r="A242" s="57"/>
      <c r="B242" s="57"/>
      <c r="C242" s="57"/>
      <c r="D242" s="20"/>
      <c r="E242" s="20"/>
      <c r="F242" s="20"/>
      <c r="G242" s="20"/>
      <c r="H242" s="20"/>
      <c r="I242" s="20"/>
      <c r="J242" s="20"/>
      <c r="K242" s="8"/>
      <c r="L242" s="8"/>
    </row>
    <row r="243" spans="1:12" ht="16.5" thickBot="1">
      <c r="A243" s="57"/>
      <c r="B243" s="57"/>
      <c r="C243" s="57" t="s">
        <v>10</v>
      </c>
      <c r="D243" s="31">
        <f t="shared" ref="D243:I243" si="38">SUM(D240:D241)</f>
        <v>47640.619999999995</v>
      </c>
      <c r="E243" s="31">
        <f t="shared" si="38"/>
        <v>22.22</v>
      </c>
      <c r="F243" s="31">
        <f t="shared" si="38"/>
        <v>0</v>
      </c>
      <c r="G243" s="31">
        <f t="shared" si="38"/>
        <v>0</v>
      </c>
      <c r="H243" s="31">
        <f t="shared" si="38"/>
        <v>0</v>
      </c>
      <c r="I243" s="31">
        <f t="shared" si="38"/>
        <v>0</v>
      </c>
      <c r="J243" s="31">
        <f>SUM(D243:I243)</f>
        <v>47662.84</v>
      </c>
      <c r="K243" s="8"/>
      <c r="L243" s="8"/>
    </row>
    <row r="244" spans="1:12" ht="16.5" thickTop="1">
      <c r="A244" s="57"/>
      <c r="B244" s="57"/>
      <c r="C244" s="57"/>
      <c r="D244" s="20"/>
      <c r="E244" s="20"/>
      <c r="F244" s="20"/>
      <c r="G244" s="20"/>
      <c r="H244" s="20"/>
      <c r="I244" s="20"/>
      <c r="J244" s="20"/>
      <c r="K244" s="8"/>
      <c r="L244" s="8"/>
    </row>
    <row r="245" spans="1:12">
      <c r="A245" s="57"/>
      <c r="B245" s="57"/>
      <c r="C245" s="57"/>
      <c r="D245" s="20"/>
      <c r="E245" s="20"/>
      <c r="F245" s="20"/>
      <c r="G245" s="20"/>
      <c r="H245" s="20"/>
      <c r="I245" s="20"/>
      <c r="J245" s="20"/>
      <c r="K245" s="8"/>
      <c r="L245" s="8"/>
    </row>
    <row r="246" spans="1:12">
      <c r="A246" s="57">
        <v>59</v>
      </c>
      <c r="B246" s="57" t="s">
        <v>54</v>
      </c>
      <c r="C246" s="57" t="s">
        <v>12</v>
      </c>
      <c r="D246" s="20">
        <v>35436.36</v>
      </c>
      <c r="E246" s="20">
        <v>90.31</v>
      </c>
      <c r="F246" s="20">
        <v>90.13</v>
      </c>
      <c r="G246" s="20">
        <v>0</v>
      </c>
      <c r="H246" s="20">
        <v>0</v>
      </c>
      <c r="I246" s="20">
        <v>0</v>
      </c>
      <c r="J246" s="20">
        <f>SUM(D246:I246)</f>
        <v>35616.799999999996</v>
      </c>
      <c r="K246" s="8"/>
      <c r="L246" s="8"/>
    </row>
    <row r="247" spans="1:12" ht="16.5" thickBot="1">
      <c r="A247" s="57"/>
      <c r="B247" s="57"/>
      <c r="C247" s="57"/>
      <c r="D247" s="29"/>
      <c r="E247" s="29"/>
      <c r="F247" s="29"/>
      <c r="G247" s="29">
        <v>0</v>
      </c>
      <c r="H247" s="29">
        <v>0</v>
      </c>
      <c r="I247" s="29">
        <v>0</v>
      </c>
      <c r="J247" s="29">
        <f>SUM(D247:I247)</f>
        <v>0</v>
      </c>
      <c r="K247" s="8"/>
      <c r="L247" s="8"/>
    </row>
    <row r="248" spans="1:12">
      <c r="A248" s="57"/>
      <c r="B248" s="57"/>
      <c r="C248" s="57"/>
      <c r="D248" s="20"/>
      <c r="E248" s="20"/>
      <c r="F248" s="20"/>
      <c r="G248" s="20"/>
      <c r="H248" s="20"/>
      <c r="I248" s="20"/>
      <c r="J248" s="20"/>
      <c r="K248" s="8"/>
      <c r="L248" s="8"/>
    </row>
    <row r="249" spans="1:12" ht="16.5" thickBot="1">
      <c r="A249" s="57"/>
      <c r="B249" s="57"/>
      <c r="C249" s="57" t="s">
        <v>10</v>
      </c>
      <c r="D249" s="31">
        <f t="shared" ref="D249:I249" si="39">SUM(D246:D247)</f>
        <v>35436.36</v>
      </c>
      <c r="E249" s="31">
        <f t="shared" si="39"/>
        <v>90.31</v>
      </c>
      <c r="F249" s="31">
        <f t="shared" si="39"/>
        <v>90.13</v>
      </c>
      <c r="G249" s="31">
        <f t="shared" si="39"/>
        <v>0</v>
      </c>
      <c r="H249" s="31">
        <f t="shared" si="39"/>
        <v>0</v>
      </c>
      <c r="I249" s="31">
        <f t="shared" si="39"/>
        <v>0</v>
      </c>
      <c r="J249" s="31">
        <f>SUM(D249:I249)</f>
        <v>35616.799999999996</v>
      </c>
      <c r="K249" s="8"/>
      <c r="L249" s="8"/>
    </row>
    <row r="250" spans="1:12" ht="16.5" thickTop="1">
      <c r="A250" s="57"/>
      <c r="B250" s="57"/>
      <c r="C250" s="57"/>
      <c r="D250" s="20"/>
      <c r="E250" s="20"/>
      <c r="F250" s="20"/>
      <c r="G250" s="20"/>
      <c r="H250" s="20"/>
      <c r="I250" s="20"/>
      <c r="J250" s="20"/>
      <c r="K250" s="8"/>
      <c r="L250" s="8"/>
    </row>
    <row r="251" spans="1:12">
      <c r="A251" s="57"/>
      <c r="B251" s="57"/>
      <c r="C251" s="57"/>
      <c r="D251" s="20"/>
      <c r="E251" s="20"/>
      <c r="F251" s="20"/>
      <c r="G251" s="20"/>
      <c r="H251" s="20"/>
      <c r="I251" s="20"/>
      <c r="J251" s="20"/>
      <c r="K251" s="8"/>
      <c r="L251" s="8"/>
    </row>
    <row r="252" spans="1:12">
      <c r="A252" s="57">
        <v>60</v>
      </c>
      <c r="B252" s="57" t="s">
        <v>55</v>
      </c>
      <c r="C252" s="57" t="s">
        <v>12</v>
      </c>
      <c r="D252" s="20">
        <v>94159.91</v>
      </c>
      <c r="E252" s="20">
        <v>1414.73</v>
      </c>
      <c r="F252" s="20">
        <v>983.89</v>
      </c>
      <c r="G252" s="20">
        <v>0</v>
      </c>
      <c r="H252" s="20">
        <v>0</v>
      </c>
      <c r="I252" s="20">
        <v>0</v>
      </c>
      <c r="J252" s="20">
        <f>SUM(D252:I252)</f>
        <v>96558.53</v>
      </c>
      <c r="K252" s="8"/>
      <c r="L252" s="8"/>
    </row>
    <row r="253" spans="1:12" hidden="1">
      <c r="A253" s="57"/>
      <c r="B253" s="57"/>
      <c r="C253" s="57" t="s">
        <v>35</v>
      </c>
      <c r="D253" s="20"/>
      <c r="E253" s="20"/>
      <c r="F253" s="20"/>
      <c r="G253" s="20">
        <v>0</v>
      </c>
      <c r="H253" s="20">
        <v>0</v>
      </c>
      <c r="I253" s="20">
        <v>0</v>
      </c>
      <c r="J253" s="20">
        <f>SUM(D253:I253)</f>
        <v>0</v>
      </c>
      <c r="K253" s="8"/>
      <c r="L253" s="8"/>
    </row>
    <row r="254" spans="1:12" ht="16.5" thickBot="1">
      <c r="A254" s="57"/>
      <c r="B254" s="57"/>
      <c r="C254" s="57"/>
      <c r="D254" s="29"/>
      <c r="E254" s="29"/>
      <c r="F254" s="29"/>
      <c r="G254" s="29">
        <v>0</v>
      </c>
      <c r="H254" s="29">
        <v>0</v>
      </c>
      <c r="I254" s="29">
        <v>0</v>
      </c>
      <c r="J254" s="29">
        <f>SUM(D254:I254)</f>
        <v>0</v>
      </c>
      <c r="K254" s="8"/>
      <c r="L254" s="8"/>
    </row>
    <row r="255" spans="1:12" hidden="1">
      <c r="A255" s="57"/>
      <c r="B255" s="57"/>
      <c r="C255" s="57" t="s">
        <v>98</v>
      </c>
      <c r="D255" s="2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f>SUM(D255:I255)</f>
        <v>0</v>
      </c>
      <c r="K255" s="8"/>
      <c r="L255" s="8"/>
    </row>
    <row r="256" spans="1:12">
      <c r="A256" s="57"/>
      <c r="B256" s="57"/>
      <c r="C256" s="57"/>
      <c r="D256" s="20"/>
      <c r="E256" s="20"/>
      <c r="F256" s="20"/>
      <c r="G256" s="20"/>
      <c r="H256" s="20"/>
      <c r="I256" s="20"/>
      <c r="J256" s="20"/>
      <c r="K256" s="8"/>
      <c r="L256" s="8"/>
    </row>
    <row r="257" spans="1:12">
      <c r="A257" s="57"/>
      <c r="B257" s="57"/>
      <c r="C257" s="57"/>
      <c r="D257" s="20"/>
      <c r="E257" s="20"/>
      <c r="F257" s="20"/>
      <c r="G257" s="20"/>
      <c r="H257" s="20"/>
      <c r="I257" s="20"/>
      <c r="J257" s="20"/>
      <c r="K257" s="8"/>
      <c r="L257" s="8"/>
    </row>
    <row r="258" spans="1:12" ht="16.5" thickBot="1">
      <c r="A258" s="57"/>
      <c r="B258" s="57"/>
      <c r="C258" s="57" t="s">
        <v>10</v>
      </c>
      <c r="D258" s="31">
        <f t="shared" ref="D258:I258" si="40">SUM(D252:D257)</f>
        <v>94159.91</v>
      </c>
      <c r="E258" s="31">
        <f t="shared" si="40"/>
        <v>1414.73</v>
      </c>
      <c r="F258" s="31">
        <f t="shared" si="40"/>
        <v>983.89</v>
      </c>
      <c r="G258" s="31">
        <f t="shared" si="40"/>
        <v>0</v>
      </c>
      <c r="H258" s="31">
        <f t="shared" si="40"/>
        <v>0</v>
      </c>
      <c r="I258" s="31">
        <f t="shared" si="40"/>
        <v>0</v>
      </c>
      <c r="J258" s="31">
        <f>SUM(D258:I258)</f>
        <v>96558.53</v>
      </c>
      <c r="K258" s="8"/>
      <c r="L258" s="8"/>
    </row>
    <row r="259" spans="1:12" ht="16.5" thickTop="1">
      <c r="A259" s="57"/>
      <c r="B259" s="57"/>
      <c r="C259" s="57"/>
      <c r="D259" s="20"/>
      <c r="E259" s="20"/>
      <c r="F259" s="20"/>
      <c r="G259" s="20"/>
      <c r="H259" s="20"/>
      <c r="I259" s="20"/>
      <c r="J259" s="20"/>
      <c r="K259" s="8"/>
      <c r="L259" s="8"/>
    </row>
    <row r="260" spans="1:12">
      <c r="A260" s="57"/>
      <c r="B260" s="57"/>
      <c r="C260" s="57"/>
      <c r="D260" s="20"/>
      <c r="E260" s="20"/>
      <c r="F260" s="20"/>
      <c r="G260" s="20"/>
      <c r="H260" s="20"/>
      <c r="I260" s="20"/>
      <c r="J260" s="20"/>
      <c r="K260" s="8"/>
      <c r="L260" s="8"/>
    </row>
    <row r="261" spans="1:12">
      <c r="A261" s="57">
        <v>61</v>
      </c>
      <c r="B261" s="57" t="s">
        <v>56</v>
      </c>
      <c r="C261" s="57" t="s">
        <v>12</v>
      </c>
      <c r="D261" s="39">
        <v>13900.83</v>
      </c>
      <c r="E261" s="20">
        <v>33.770000000000003</v>
      </c>
      <c r="F261" s="20">
        <v>0</v>
      </c>
      <c r="G261" s="20">
        <v>0</v>
      </c>
      <c r="H261" s="20">
        <v>0</v>
      </c>
      <c r="I261" s="20">
        <v>0</v>
      </c>
      <c r="J261" s="20">
        <f>SUM(D261:I261)</f>
        <v>13934.6</v>
      </c>
      <c r="K261" s="8"/>
      <c r="L261" s="8"/>
    </row>
    <row r="262" spans="1:12" ht="16.5" thickBot="1">
      <c r="A262" s="57"/>
      <c r="B262" s="57"/>
      <c r="C262" s="57" t="s">
        <v>13</v>
      </c>
      <c r="D262" s="29">
        <v>2026.35</v>
      </c>
      <c r="E262" s="29">
        <v>6.31</v>
      </c>
      <c r="F262" s="29">
        <v>0</v>
      </c>
      <c r="G262" s="29">
        <v>0</v>
      </c>
      <c r="H262" s="29">
        <v>0</v>
      </c>
      <c r="I262" s="29">
        <v>0</v>
      </c>
      <c r="J262" s="29">
        <f>SUM(D262:I262)</f>
        <v>2032.6599999999999</v>
      </c>
      <c r="K262" s="8"/>
      <c r="L262" s="8"/>
    </row>
    <row r="263" spans="1:12" ht="16.5" hidden="1" thickBot="1">
      <c r="A263" s="57"/>
      <c r="B263" s="57"/>
      <c r="C263" s="57" t="s">
        <v>99</v>
      </c>
      <c r="D263" s="29">
        <v>0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29">
        <f>SUM(D263:I263)</f>
        <v>0</v>
      </c>
      <c r="K263" s="8"/>
      <c r="L263" s="8"/>
    </row>
    <row r="264" spans="1:12">
      <c r="A264" s="57"/>
      <c r="B264" s="57"/>
      <c r="C264" s="57"/>
      <c r="D264" s="20"/>
      <c r="E264" s="20"/>
      <c r="F264" s="20"/>
      <c r="G264" s="20"/>
      <c r="H264" s="20"/>
      <c r="I264" s="20"/>
      <c r="J264" s="20"/>
      <c r="K264" s="8"/>
      <c r="L264" s="8"/>
    </row>
    <row r="265" spans="1:12" ht="16.5" thickBot="1">
      <c r="A265" s="57"/>
      <c r="B265" s="57"/>
      <c r="C265" s="57" t="s">
        <v>10</v>
      </c>
      <c r="D265" s="31">
        <f>SUM(D261:D263)</f>
        <v>15927.18</v>
      </c>
      <c r="E265" s="31">
        <f t="shared" ref="E265:J265" si="41">SUM(E261:E263)</f>
        <v>40.080000000000005</v>
      </c>
      <c r="F265" s="31">
        <f t="shared" si="41"/>
        <v>0</v>
      </c>
      <c r="G265" s="31">
        <f t="shared" si="41"/>
        <v>0</v>
      </c>
      <c r="H265" s="31">
        <f t="shared" si="41"/>
        <v>0</v>
      </c>
      <c r="I265" s="31">
        <f t="shared" si="41"/>
        <v>0</v>
      </c>
      <c r="J265" s="31">
        <f t="shared" si="41"/>
        <v>15967.26</v>
      </c>
      <c r="K265" s="8"/>
      <c r="L265" s="8"/>
    </row>
    <row r="266" spans="1:12" ht="16.5" thickTop="1">
      <c r="A266" s="57"/>
      <c r="B266" s="57"/>
      <c r="C266" s="57"/>
      <c r="D266" s="20"/>
      <c r="E266" s="20"/>
      <c r="F266" s="20"/>
      <c r="G266" s="20"/>
      <c r="H266" s="20"/>
      <c r="I266" s="20"/>
      <c r="J266" s="20"/>
      <c r="K266" s="8"/>
      <c r="L266" s="8"/>
    </row>
    <row r="267" spans="1:12">
      <c r="A267" s="57"/>
      <c r="B267" s="57"/>
      <c r="C267" s="57"/>
      <c r="D267" s="20"/>
      <c r="E267" s="20"/>
      <c r="F267" s="20"/>
      <c r="G267" s="20"/>
      <c r="H267" s="20"/>
      <c r="I267" s="20"/>
      <c r="J267" s="20"/>
      <c r="K267" s="8"/>
      <c r="L267" s="8"/>
    </row>
    <row r="268" spans="1:12">
      <c r="A268" s="57">
        <v>62</v>
      </c>
      <c r="B268" s="57" t="s">
        <v>57</v>
      </c>
      <c r="C268" s="57" t="s">
        <v>12</v>
      </c>
      <c r="D268" s="20">
        <v>12060.5</v>
      </c>
      <c r="E268" s="20">
        <v>0</v>
      </c>
      <c r="F268" s="20">
        <v>0</v>
      </c>
      <c r="G268" s="20">
        <v>0</v>
      </c>
      <c r="H268" s="20">
        <v>0</v>
      </c>
      <c r="I268" s="20">
        <v>0</v>
      </c>
      <c r="J268" s="20">
        <f>SUM(D268:I268)</f>
        <v>12060.5</v>
      </c>
      <c r="K268" s="8"/>
      <c r="L268" s="8"/>
    </row>
    <row r="269" spans="1:12" ht="16.5" thickBot="1">
      <c r="A269" s="57"/>
      <c r="B269" s="57"/>
      <c r="C269" s="57" t="s">
        <v>13</v>
      </c>
      <c r="D269" s="29">
        <v>1340.05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29">
        <f>SUM(D269:I269)</f>
        <v>1340.05</v>
      </c>
      <c r="K269" s="8"/>
      <c r="L269" s="8"/>
    </row>
    <row r="270" spans="1:12">
      <c r="A270" s="57"/>
      <c r="B270" s="57"/>
      <c r="C270" s="57"/>
      <c r="D270" s="20"/>
      <c r="E270" s="20"/>
      <c r="F270" s="20"/>
      <c r="G270" s="20"/>
      <c r="H270" s="20"/>
      <c r="I270" s="20"/>
      <c r="J270" s="20"/>
      <c r="K270" s="8"/>
      <c r="L270" s="8"/>
    </row>
    <row r="271" spans="1:12" ht="16.5" thickBot="1">
      <c r="A271" s="57"/>
      <c r="B271" s="57"/>
      <c r="C271" s="57" t="s">
        <v>10</v>
      </c>
      <c r="D271" s="31">
        <f t="shared" ref="D271:I271" si="42">SUM(D268:D269)</f>
        <v>13400.55</v>
      </c>
      <c r="E271" s="31">
        <f t="shared" si="42"/>
        <v>0</v>
      </c>
      <c r="F271" s="31">
        <f t="shared" si="42"/>
        <v>0</v>
      </c>
      <c r="G271" s="31">
        <f t="shared" si="42"/>
        <v>0</v>
      </c>
      <c r="H271" s="31">
        <f t="shared" si="42"/>
        <v>0</v>
      </c>
      <c r="I271" s="31">
        <f t="shared" si="42"/>
        <v>0</v>
      </c>
      <c r="J271" s="31">
        <f>SUM(D271:I271)</f>
        <v>13400.55</v>
      </c>
      <c r="K271" s="8"/>
      <c r="L271" s="8"/>
    </row>
    <row r="272" spans="1:12" ht="16.5" thickTop="1">
      <c r="A272" s="57"/>
      <c r="B272" s="57"/>
      <c r="C272" s="57"/>
      <c r="D272" s="20"/>
      <c r="E272" s="20"/>
      <c r="F272" s="20"/>
      <c r="G272" s="20"/>
      <c r="H272" s="20"/>
      <c r="I272" s="20"/>
      <c r="J272" s="20"/>
      <c r="K272" s="8"/>
      <c r="L272" s="8"/>
    </row>
    <row r="273" spans="1:12">
      <c r="A273" s="57"/>
      <c r="B273" s="57"/>
      <c r="C273" s="57"/>
      <c r="D273" s="20"/>
      <c r="E273" s="20"/>
      <c r="F273" s="20"/>
      <c r="G273" s="20"/>
      <c r="H273" s="20"/>
      <c r="I273" s="20"/>
      <c r="J273" s="20"/>
      <c r="K273" s="8"/>
      <c r="L273" s="8"/>
    </row>
    <row r="274" spans="1:12">
      <c r="A274" s="57">
        <v>63</v>
      </c>
      <c r="B274" s="57" t="s">
        <v>58</v>
      </c>
      <c r="C274" s="57" t="s">
        <v>12</v>
      </c>
      <c r="D274" s="20">
        <v>13635.52</v>
      </c>
      <c r="E274" s="20">
        <v>365.67</v>
      </c>
      <c r="F274" s="20">
        <v>179.57</v>
      </c>
      <c r="G274" s="20">
        <v>0</v>
      </c>
      <c r="H274" s="20">
        <v>0</v>
      </c>
      <c r="I274" s="20">
        <v>0</v>
      </c>
      <c r="J274" s="20">
        <f>SUM(D274:I274)</f>
        <v>14180.76</v>
      </c>
      <c r="K274" s="8"/>
      <c r="L274" s="8"/>
    </row>
    <row r="275" spans="1:12" ht="16.5" thickBot="1">
      <c r="A275" s="57"/>
      <c r="B275" s="57"/>
      <c r="C275" s="57" t="s">
        <v>13</v>
      </c>
      <c r="D275" s="29">
        <v>519.54999999999995</v>
      </c>
      <c r="E275" s="29">
        <v>12.76</v>
      </c>
      <c r="F275" s="29">
        <v>6.19</v>
      </c>
      <c r="G275" s="29">
        <v>0</v>
      </c>
      <c r="H275" s="29">
        <v>0</v>
      </c>
      <c r="I275" s="29">
        <v>0</v>
      </c>
      <c r="J275" s="29">
        <f>SUM(D275:I275)</f>
        <v>538.5</v>
      </c>
      <c r="K275" s="8"/>
      <c r="L275" s="8"/>
    </row>
    <row r="276" spans="1:12">
      <c r="A276" s="57"/>
      <c r="B276" s="57"/>
      <c r="C276" s="57"/>
      <c r="D276" s="20"/>
      <c r="E276" s="20"/>
      <c r="F276" s="20"/>
      <c r="G276" s="20"/>
      <c r="H276" s="20"/>
      <c r="I276" s="20"/>
      <c r="J276" s="20"/>
      <c r="K276" s="8"/>
      <c r="L276" s="8"/>
    </row>
    <row r="277" spans="1:12" ht="16.5" thickBot="1">
      <c r="A277" s="57"/>
      <c r="B277" s="57"/>
      <c r="C277" s="57" t="s">
        <v>10</v>
      </c>
      <c r="D277" s="31">
        <f t="shared" ref="D277:I277" si="43">SUM(D274:D275)</f>
        <v>14155.07</v>
      </c>
      <c r="E277" s="31">
        <f t="shared" si="43"/>
        <v>378.43</v>
      </c>
      <c r="F277" s="31">
        <f t="shared" si="43"/>
        <v>185.76</v>
      </c>
      <c r="G277" s="31">
        <f t="shared" si="43"/>
        <v>0</v>
      </c>
      <c r="H277" s="31">
        <f t="shared" si="43"/>
        <v>0</v>
      </c>
      <c r="I277" s="31">
        <f t="shared" si="43"/>
        <v>0</v>
      </c>
      <c r="J277" s="31">
        <f>SUM(D277:I277)</f>
        <v>14719.26</v>
      </c>
      <c r="K277" s="8"/>
      <c r="L277" s="8"/>
    </row>
    <row r="278" spans="1:12" ht="16.5" thickTop="1">
      <c r="A278" s="57"/>
      <c r="B278" s="57"/>
      <c r="C278" s="57"/>
      <c r="D278" s="20"/>
      <c r="E278" s="20"/>
      <c r="F278" s="20"/>
      <c r="G278" s="20"/>
      <c r="H278" s="20"/>
      <c r="I278" s="20"/>
      <c r="J278" s="20"/>
      <c r="K278" s="8"/>
      <c r="L278" s="8"/>
    </row>
    <row r="279" spans="1:12">
      <c r="A279" s="57"/>
      <c r="B279" s="57"/>
      <c r="C279" s="57"/>
      <c r="D279" s="20"/>
      <c r="E279" s="20"/>
      <c r="F279" s="20"/>
      <c r="G279" s="20"/>
      <c r="H279" s="20"/>
      <c r="I279" s="20"/>
      <c r="J279" s="20"/>
      <c r="K279" s="8"/>
      <c r="L279" s="8"/>
    </row>
    <row r="280" spans="1:12" ht="16.5" thickBot="1">
      <c r="A280" s="57">
        <v>64</v>
      </c>
      <c r="B280" s="57" t="s">
        <v>59</v>
      </c>
      <c r="C280" s="57" t="s">
        <v>12</v>
      </c>
      <c r="D280" s="50">
        <v>83884.67</v>
      </c>
      <c r="E280" s="29">
        <v>691.19</v>
      </c>
      <c r="F280" s="29">
        <v>120.58</v>
      </c>
      <c r="G280" s="29">
        <v>0</v>
      </c>
      <c r="H280" s="29">
        <v>0</v>
      </c>
      <c r="I280" s="29">
        <v>0</v>
      </c>
      <c r="J280" s="29">
        <f>SUM(D280:I280)</f>
        <v>84696.44</v>
      </c>
      <c r="K280" s="8"/>
      <c r="L280" s="8"/>
    </row>
    <row r="281" spans="1:12">
      <c r="A281" s="57"/>
      <c r="B281" s="57"/>
      <c r="C281" s="57"/>
      <c r="D281" s="20"/>
      <c r="E281" s="20"/>
      <c r="F281" s="20"/>
      <c r="G281" s="20"/>
      <c r="H281" s="20"/>
      <c r="I281" s="20"/>
      <c r="J281" s="20"/>
      <c r="K281" s="8"/>
      <c r="L281" s="8"/>
    </row>
    <row r="282" spans="1:12" ht="16.5" thickBot="1">
      <c r="A282" s="57"/>
      <c r="B282" s="57"/>
      <c r="C282" s="57" t="s">
        <v>10</v>
      </c>
      <c r="D282" s="31">
        <f t="shared" ref="D282:I282" si="44">SUM(D280:D281)</f>
        <v>83884.67</v>
      </c>
      <c r="E282" s="31">
        <f t="shared" si="44"/>
        <v>691.19</v>
      </c>
      <c r="F282" s="31">
        <f t="shared" si="44"/>
        <v>120.58</v>
      </c>
      <c r="G282" s="31">
        <f t="shared" si="44"/>
        <v>0</v>
      </c>
      <c r="H282" s="31">
        <f t="shared" si="44"/>
        <v>0</v>
      </c>
      <c r="I282" s="31">
        <f t="shared" si="44"/>
        <v>0</v>
      </c>
      <c r="J282" s="31">
        <f>SUM(D282:I282)</f>
        <v>84696.44</v>
      </c>
      <c r="K282" s="8"/>
      <c r="L282" s="8"/>
    </row>
    <row r="283" spans="1:12" ht="16.5" thickTop="1">
      <c r="A283" s="57"/>
      <c r="B283" s="57"/>
      <c r="C283" s="57"/>
      <c r="D283" s="20"/>
      <c r="E283" s="20"/>
      <c r="F283" s="20"/>
      <c r="G283" s="20"/>
      <c r="H283" s="20"/>
      <c r="I283" s="20"/>
      <c r="J283" s="20"/>
      <c r="K283" s="8"/>
      <c r="L283" s="8"/>
    </row>
    <row r="284" spans="1:12">
      <c r="A284" s="57"/>
      <c r="B284" s="59"/>
      <c r="C284" s="59"/>
      <c r="D284" s="36"/>
      <c r="E284" s="36"/>
      <c r="F284" s="36"/>
      <c r="G284" s="22"/>
      <c r="H284" s="22"/>
      <c r="I284" s="22"/>
      <c r="J284" s="20"/>
      <c r="K284" s="8"/>
      <c r="L284" s="8"/>
    </row>
    <row r="285" spans="1:12" ht="16.5" thickBot="1">
      <c r="A285" s="57">
        <v>65</v>
      </c>
      <c r="B285" s="57" t="s">
        <v>60</v>
      </c>
      <c r="C285" s="57" t="s">
        <v>12</v>
      </c>
      <c r="D285" s="29">
        <v>17641.97</v>
      </c>
      <c r="E285" s="29">
        <v>303.02999999999997</v>
      </c>
      <c r="F285" s="29">
        <v>303.02999999999997</v>
      </c>
      <c r="G285" s="29">
        <v>0</v>
      </c>
      <c r="H285" s="29">
        <v>0</v>
      </c>
      <c r="I285" s="29">
        <v>0</v>
      </c>
      <c r="J285" s="29">
        <f>SUM(D285:I285)</f>
        <v>18248.03</v>
      </c>
      <c r="K285" s="8"/>
      <c r="L285" s="8"/>
    </row>
    <row r="286" spans="1:12" ht="16.5" hidden="1" thickBot="1">
      <c r="A286" s="57"/>
      <c r="B286" s="57"/>
      <c r="C286" s="57" t="s">
        <v>13</v>
      </c>
      <c r="D286" s="29"/>
      <c r="E286" s="29"/>
      <c r="F286" s="29"/>
      <c r="G286" s="29"/>
      <c r="H286" s="29"/>
      <c r="I286" s="29"/>
      <c r="J286" s="29"/>
      <c r="K286" s="8"/>
      <c r="L286" s="8"/>
    </row>
    <row r="287" spans="1:12">
      <c r="A287" s="57"/>
      <c r="B287" s="57"/>
      <c r="C287" s="57"/>
      <c r="D287" s="20"/>
      <c r="E287" s="20"/>
      <c r="F287" s="20"/>
      <c r="G287" s="20"/>
      <c r="H287" s="20"/>
      <c r="I287" s="20"/>
      <c r="J287" s="20"/>
      <c r="K287" s="8"/>
      <c r="L287" s="8"/>
    </row>
    <row r="288" spans="1:12" ht="16.5" thickBot="1">
      <c r="A288" s="57"/>
      <c r="B288" s="57"/>
      <c r="C288" s="57" t="s">
        <v>10</v>
      </c>
      <c r="D288" s="31">
        <f t="shared" ref="D288:I288" si="45">SUM(D285:D286)</f>
        <v>17641.97</v>
      </c>
      <c r="E288" s="31">
        <f t="shared" si="45"/>
        <v>303.02999999999997</v>
      </c>
      <c r="F288" s="31">
        <f t="shared" si="45"/>
        <v>303.02999999999997</v>
      </c>
      <c r="G288" s="31">
        <f t="shared" si="45"/>
        <v>0</v>
      </c>
      <c r="H288" s="31">
        <f t="shared" si="45"/>
        <v>0</v>
      </c>
      <c r="I288" s="31">
        <f t="shared" si="45"/>
        <v>0</v>
      </c>
      <c r="J288" s="31">
        <f>SUM(D288:I288)</f>
        <v>18248.03</v>
      </c>
      <c r="K288" s="8"/>
      <c r="L288" s="8"/>
    </row>
    <row r="289" spans="1:12" ht="16.5" thickTop="1">
      <c r="A289" s="57"/>
      <c r="B289" s="57"/>
      <c r="C289" s="57"/>
      <c r="D289" s="20"/>
      <c r="E289" s="20"/>
      <c r="F289" s="20"/>
      <c r="G289" s="20"/>
      <c r="H289" s="20"/>
      <c r="I289" s="20"/>
      <c r="J289" s="20"/>
      <c r="K289" s="8"/>
      <c r="L289" s="8"/>
    </row>
    <row r="290" spans="1:12">
      <c r="A290" s="57"/>
      <c r="B290" s="57"/>
      <c r="C290" s="57"/>
      <c r="D290" s="20"/>
      <c r="E290" s="20"/>
      <c r="F290" s="20"/>
      <c r="G290" s="20"/>
      <c r="H290" s="20"/>
      <c r="I290" s="20"/>
      <c r="J290" s="20"/>
      <c r="K290" s="8"/>
      <c r="L290" s="8"/>
    </row>
    <row r="291" spans="1:12">
      <c r="A291" s="57">
        <v>66</v>
      </c>
      <c r="B291" s="57" t="s">
        <v>61</v>
      </c>
      <c r="C291" s="57" t="s">
        <v>12</v>
      </c>
      <c r="D291" s="20">
        <v>19016.14</v>
      </c>
      <c r="E291" s="20">
        <v>255.65</v>
      </c>
      <c r="F291" s="20">
        <v>151.79</v>
      </c>
      <c r="G291" s="20">
        <v>0</v>
      </c>
      <c r="H291" s="20">
        <v>0</v>
      </c>
      <c r="I291" s="20">
        <v>0</v>
      </c>
      <c r="J291" s="20">
        <f>SUM(D291:I291)</f>
        <v>19423.580000000002</v>
      </c>
      <c r="K291" s="8"/>
      <c r="L291" s="8"/>
    </row>
    <row r="292" spans="1:12" hidden="1">
      <c r="A292" s="57"/>
      <c r="B292" s="57"/>
      <c r="C292" s="57" t="s">
        <v>35</v>
      </c>
      <c r="D292" s="20"/>
      <c r="E292" s="20"/>
      <c r="F292" s="20"/>
      <c r="G292" s="20">
        <v>0</v>
      </c>
      <c r="H292" s="20">
        <v>0</v>
      </c>
      <c r="I292" s="20">
        <v>0</v>
      </c>
      <c r="J292" s="20">
        <f>SUM(D292:I292)</f>
        <v>0</v>
      </c>
      <c r="K292" s="8"/>
      <c r="L292" s="8"/>
    </row>
    <row r="293" spans="1:12" hidden="1">
      <c r="A293" s="57"/>
      <c r="B293" s="57"/>
      <c r="C293" s="57" t="s">
        <v>73</v>
      </c>
      <c r="D293" s="20"/>
      <c r="E293" s="20"/>
      <c r="F293" s="20"/>
      <c r="G293" s="20">
        <v>0</v>
      </c>
      <c r="H293" s="20">
        <v>0</v>
      </c>
      <c r="I293" s="20">
        <v>0</v>
      </c>
      <c r="J293" s="20">
        <f>SUM(D293:I293)</f>
        <v>0</v>
      </c>
      <c r="K293" s="8"/>
      <c r="L293" s="8"/>
    </row>
    <row r="294" spans="1:12" ht="16.5" thickBot="1">
      <c r="A294" s="57"/>
      <c r="B294" s="57"/>
      <c r="C294" s="57"/>
      <c r="D294" s="29"/>
      <c r="E294" s="29"/>
      <c r="F294" s="29"/>
      <c r="G294" s="29">
        <v>0</v>
      </c>
      <c r="H294" s="29">
        <v>0</v>
      </c>
      <c r="I294" s="29">
        <v>0</v>
      </c>
      <c r="J294" s="29">
        <f>SUM(D294:I294)</f>
        <v>0</v>
      </c>
      <c r="K294" s="8"/>
      <c r="L294" s="8"/>
    </row>
    <row r="295" spans="1:12">
      <c r="A295" s="57"/>
      <c r="B295" s="57"/>
      <c r="C295" s="57"/>
      <c r="D295" s="20"/>
      <c r="E295" s="20"/>
      <c r="F295" s="20"/>
      <c r="G295" s="20"/>
      <c r="H295" s="20"/>
      <c r="I295" s="20"/>
      <c r="J295" s="20"/>
      <c r="K295" s="8"/>
      <c r="L295" s="8"/>
    </row>
    <row r="296" spans="1:12" ht="16.5" thickBot="1">
      <c r="A296" s="57"/>
      <c r="B296" s="57"/>
      <c r="C296" s="57" t="s">
        <v>10</v>
      </c>
      <c r="D296" s="31">
        <f t="shared" ref="D296:I296" si="46">SUM(D291:D294)</f>
        <v>19016.14</v>
      </c>
      <c r="E296" s="31">
        <f t="shared" si="46"/>
        <v>255.65</v>
      </c>
      <c r="F296" s="31">
        <f t="shared" si="46"/>
        <v>151.79</v>
      </c>
      <c r="G296" s="31">
        <f t="shared" si="46"/>
        <v>0</v>
      </c>
      <c r="H296" s="31">
        <f t="shared" si="46"/>
        <v>0</v>
      </c>
      <c r="I296" s="31">
        <f t="shared" si="46"/>
        <v>0</v>
      </c>
      <c r="J296" s="31">
        <f>SUM(D296:I296)</f>
        <v>19423.580000000002</v>
      </c>
      <c r="K296" s="8"/>
      <c r="L296" s="8"/>
    </row>
    <row r="297" spans="1:12" ht="16.5" thickTop="1">
      <c r="A297" s="57"/>
      <c r="B297" s="57"/>
      <c r="C297" s="57"/>
      <c r="D297" s="20"/>
      <c r="E297" s="20"/>
      <c r="F297" s="20"/>
      <c r="G297" s="20"/>
      <c r="H297" s="20"/>
      <c r="I297" s="20"/>
      <c r="J297" s="20"/>
      <c r="K297" s="8"/>
      <c r="L297" s="8"/>
    </row>
    <row r="298" spans="1:12">
      <c r="A298" s="57"/>
      <c r="B298" s="57"/>
      <c r="C298" s="57"/>
      <c r="D298" s="20"/>
      <c r="E298" s="20"/>
      <c r="F298" s="20"/>
      <c r="G298" s="20"/>
      <c r="H298" s="20"/>
      <c r="I298" s="20"/>
      <c r="J298" s="20"/>
      <c r="K298" s="8"/>
      <c r="L298" s="8"/>
    </row>
    <row r="299" spans="1:12">
      <c r="A299" s="57">
        <v>67</v>
      </c>
      <c r="B299" s="57" t="s">
        <v>62</v>
      </c>
      <c r="C299" s="57" t="s">
        <v>12</v>
      </c>
      <c r="D299" s="20">
        <v>39209.269999999997</v>
      </c>
      <c r="E299" s="20">
        <v>1140.1099999999999</v>
      </c>
      <c r="F299" s="20">
        <v>486.36</v>
      </c>
      <c r="G299" s="20">
        <v>0</v>
      </c>
      <c r="H299" s="20">
        <v>0</v>
      </c>
      <c r="I299" s="20">
        <v>0</v>
      </c>
      <c r="J299" s="20">
        <f>SUM(D299:I299)</f>
        <v>40835.74</v>
      </c>
      <c r="K299" s="8"/>
      <c r="L299" s="8"/>
    </row>
    <row r="300" spans="1:12" ht="16.5" thickBot="1">
      <c r="A300" s="57"/>
      <c r="B300" s="57"/>
      <c r="C300" s="57" t="s">
        <v>13</v>
      </c>
      <c r="D300" s="29">
        <v>453.36</v>
      </c>
      <c r="E300" s="29">
        <v>13.44</v>
      </c>
      <c r="F300" s="29">
        <v>6.26</v>
      </c>
      <c r="G300" s="29">
        <v>0</v>
      </c>
      <c r="H300" s="29">
        <v>0</v>
      </c>
      <c r="I300" s="29">
        <v>0</v>
      </c>
      <c r="J300" s="29">
        <f>SUM(D300:I300)</f>
        <v>473.06</v>
      </c>
      <c r="K300" s="8"/>
      <c r="L300" s="8"/>
    </row>
    <row r="301" spans="1:12">
      <c r="A301" s="57"/>
      <c r="B301" s="57"/>
      <c r="C301" s="57"/>
      <c r="D301" s="20"/>
      <c r="E301" s="20"/>
      <c r="F301" s="20"/>
      <c r="G301" s="20"/>
      <c r="H301" s="20"/>
      <c r="I301" s="20"/>
      <c r="J301" s="20"/>
      <c r="K301" s="8"/>
      <c r="L301" s="8"/>
    </row>
    <row r="302" spans="1:12" ht="16.5" thickBot="1">
      <c r="A302" s="57"/>
      <c r="B302" s="57"/>
      <c r="C302" s="57" t="s">
        <v>10</v>
      </c>
      <c r="D302" s="31">
        <f t="shared" ref="D302:I302" si="47">SUM(D299:D300)</f>
        <v>39662.629999999997</v>
      </c>
      <c r="E302" s="31">
        <f t="shared" si="47"/>
        <v>1153.55</v>
      </c>
      <c r="F302" s="31">
        <f t="shared" si="47"/>
        <v>492.62</v>
      </c>
      <c r="G302" s="31">
        <f t="shared" si="47"/>
        <v>0</v>
      </c>
      <c r="H302" s="31">
        <f t="shared" si="47"/>
        <v>0</v>
      </c>
      <c r="I302" s="31">
        <f t="shared" si="47"/>
        <v>0</v>
      </c>
      <c r="J302" s="31">
        <f>SUM(D302:I302)</f>
        <v>41308.800000000003</v>
      </c>
      <c r="K302" s="8"/>
      <c r="L302" s="8"/>
    </row>
    <row r="303" spans="1:12" ht="16.5" thickTop="1">
      <c r="A303" s="57"/>
      <c r="B303" s="57"/>
      <c r="C303" s="57"/>
      <c r="D303" s="20"/>
      <c r="E303" s="20"/>
      <c r="F303" s="20"/>
      <c r="G303" s="20"/>
      <c r="H303" s="20"/>
      <c r="I303" s="20"/>
      <c r="J303" s="20"/>
      <c r="K303" s="8"/>
      <c r="L303" s="8"/>
    </row>
    <row r="304" spans="1:12">
      <c r="A304" s="57"/>
      <c r="B304" s="57"/>
      <c r="C304" s="57"/>
      <c r="D304" s="20"/>
      <c r="E304" s="20"/>
      <c r="F304" s="20"/>
      <c r="G304" s="20"/>
      <c r="H304" s="20"/>
      <c r="I304" s="20"/>
      <c r="J304" s="20"/>
      <c r="K304" s="8"/>
      <c r="L304" s="8"/>
    </row>
    <row r="305" spans="1:12">
      <c r="A305" s="57">
        <v>68</v>
      </c>
      <c r="B305" s="57" t="s">
        <v>63</v>
      </c>
      <c r="C305" s="57" t="s">
        <v>12</v>
      </c>
      <c r="D305" s="25">
        <v>19037.080000000002</v>
      </c>
      <c r="E305" s="25">
        <v>140.85</v>
      </c>
      <c r="F305" s="25">
        <v>53.39</v>
      </c>
      <c r="G305" s="25">
        <v>0</v>
      </c>
      <c r="H305" s="25">
        <v>0</v>
      </c>
      <c r="I305" s="25">
        <v>0</v>
      </c>
      <c r="J305" s="25">
        <f>SUM(D305:I305)</f>
        <v>19231.32</v>
      </c>
      <c r="K305" s="8"/>
      <c r="L305" s="8"/>
    </row>
    <row r="306" spans="1:12" ht="16.5" hidden="1" thickBot="1">
      <c r="A306" s="57"/>
      <c r="B306" s="57"/>
      <c r="C306" s="57" t="s">
        <v>13</v>
      </c>
      <c r="D306" s="29"/>
      <c r="E306" s="29"/>
      <c r="F306" s="29"/>
      <c r="G306" s="29"/>
      <c r="H306" s="29"/>
      <c r="I306" s="29"/>
      <c r="J306" s="29"/>
      <c r="K306" s="8"/>
      <c r="L306" s="8"/>
    </row>
    <row r="307" spans="1:12">
      <c r="A307" s="57"/>
      <c r="B307" s="57"/>
      <c r="C307" s="57"/>
      <c r="D307" s="20"/>
      <c r="E307" s="20"/>
      <c r="F307" s="20"/>
      <c r="G307" s="20"/>
      <c r="H307" s="20"/>
      <c r="I307" s="20"/>
      <c r="J307" s="20"/>
      <c r="K307" s="8"/>
      <c r="L307" s="8"/>
    </row>
    <row r="308" spans="1:12" ht="16.5" thickBot="1">
      <c r="A308" s="57"/>
      <c r="B308" s="57"/>
      <c r="C308" s="57" t="s">
        <v>10</v>
      </c>
      <c r="D308" s="31">
        <f t="shared" ref="D308:I308" si="48">SUM(D305:D306)</f>
        <v>19037.080000000002</v>
      </c>
      <c r="E308" s="31">
        <f t="shared" si="48"/>
        <v>140.85</v>
      </c>
      <c r="F308" s="31">
        <f t="shared" si="48"/>
        <v>53.39</v>
      </c>
      <c r="G308" s="31">
        <f t="shared" si="48"/>
        <v>0</v>
      </c>
      <c r="H308" s="31">
        <f t="shared" si="48"/>
        <v>0</v>
      </c>
      <c r="I308" s="31">
        <f t="shared" si="48"/>
        <v>0</v>
      </c>
      <c r="J308" s="31">
        <f>SUM(D308:I308)</f>
        <v>19231.32</v>
      </c>
      <c r="K308" s="8"/>
      <c r="L308" s="8"/>
    </row>
    <row r="309" spans="1:12" ht="16.5" thickTop="1">
      <c r="A309" s="57"/>
      <c r="B309" s="57"/>
      <c r="C309" s="57"/>
      <c r="D309" s="20"/>
      <c r="E309" s="20"/>
      <c r="F309" s="20"/>
      <c r="G309" s="20"/>
      <c r="H309" s="20"/>
      <c r="I309" s="20"/>
      <c r="J309" s="20"/>
      <c r="K309" s="8"/>
      <c r="L309" s="8"/>
    </row>
    <row r="310" spans="1:12">
      <c r="A310" s="57"/>
      <c r="B310" s="57"/>
      <c r="C310" s="57"/>
      <c r="D310" s="20"/>
      <c r="E310" s="20"/>
      <c r="F310" s="20"/>
      <c r="G310" s="20"/>
      <c r="H310" s="20"/>
      <c r="I310" s="20"/>
      <c r="J310" s="20"/>
      <c r="K310" s="8"/>
      <c r="L310" s="8"/>
    </row>
    <row r="311" spans="1:12">
      <c r="A311" s="57">
        <v>69</v>
      </c>
      <c r="B311" s="57" t="s">
        <v>64</v>
      </c>
      <c r="C311" s="57" t="s">
        <v>12</v>
      </c>
      <c r="D311" s="25">
        <v>22437.49</v>
      </c>
      <c r="E311" s="25">
        <v>291.04000000000002</v>
      </c>
      <c r="F311" s="25">
        <v>0</v>
      </c>
      <c r="G311" s="25">
        <v>0</v>
      </c>
      <c r="H311" s="25">
        <v>0</v>
      </c>
      <c r="I311" s="25">
        <v>0</v>
      </c>
      <c r="J311" s="25">
        <f>SUM(D311:I311)</f>
        <v>22728.530000000002</v>
      </c>
      <c r="K311" s="8"/>
      <c r="L311" s="8"/>
    </row>
    <row r="312" spans="1:12" ht="16.5" hidden="1" thickBot="1">
      <c r="A312" s="57"/>
      <c r="B312" s="57"/>
      <c r="C312" s="57" t="s">
        <v>13</v>
      </c>
      <c r="D312" s="29"/>
      <c r="E312" s="29"/>
      <c r="F312" s="29"/>
      <c r="G312" s="29"/>
      <c r="H312" s="29"/>
      <c r="I312" s="29"/>
      <c r="J312" s="29">
        <v>0</v>
      </c>
      <c r="K312" s="8"/>
      <c r="L312" s="8"/>
    </row>
    <row r="313" spans="1:12">
      <c r="A313" s="57"/>
      <c r="B313" s="57"/>
      <c r="C313" s="57"/>
      <c r="D313" s="20"/>
      <c r="E313" s="20"/>
      <c r="F313" s="20"/>
      <c r="G313" s="20"/>
      <c r="H313" s="20"/>
      <c r="I313" s="20"/>
      <c r="J313" s="20"/>
      <c r="K313" s="8"/>
      <c r="L313" s="8"/>
    </row>
    <row r="314" spans="1:12" ht="16.5" thickBot="1">
      <c r="A314" s="57"/>
      <c r="B314" s="57"/>
      <c r="C314" s="57" t="s">
        <v>10</v>
      </c>
      <c r="D314" s="31">
        <f t="shared" ref="D314:I314" si="49">SUM(D311:D312)</f>
        <v>22437.49</v>
      </c>
      <c r="E314" s="31">
        <f t="shared" si="49"/>
        <v>291.04000000000002</v>
      </c>
      <c r="F314" s="31">
        <f t="shared" si="49"/>
        <v>0</v>
      </c>
      <c r="G314" s="31">
        <f t="shared" si="49"/>
        <v>0</v>
      </c>
      <c r="H314" s="31">
        <f t="shared" si="49"/>
        <v>0</v>
      </c>
      <c r="I314" s="31">
        <f t="shared" si="49"/>
        <v>0</v>
      </c>
      <c r="J314" s="31">
        <f>SUM(D314:I314)</f>
        <v>22728.530000000002</v>
      </c>
      <c r="K314" s="8"/>
      <c r="L314" s="8"/>
    </row>
    <row r="315" spans="1:12" ht="16.5" thickTop="1">
      <c r="A315" s="57"/>
      <c r="B315" s="57"/>
      <c r="C315" s="57"/>
      <c r="D315" s="20"/>
      <c r="E315" s="20"/>
      <c r="F315" s="20"/>
      <c r="G315" s="20"/>
      <c r="H315" s="20"/>
      <c r="I315" s="20"/>
      <c r="J315" s="20"/>
      <c r="K315" s="8"/>
      <c r="L315" s="8"/>
    </row>
    <row r="316" spans="1:12">
      <c r="A316" s="57"/>
      <c r="B316" s="57"/>
      <c r="C316" s="57"/>
      <c r="D316" s="20"/>
      <c r="E316" s="20"/>
      <c r="F316" s="20"/>
      <c r="G316" s="20"/>
      <c r="H316" s="20"/>
      <c r="I316" s="20"/>
      <c r="J316" s="20"/>
      <c r="K316" s="8"/>
      <c r="L316" s="8"/>
    </row>
    <row r="317" spans="1:12">
      <c r="A317" s="57">
        <v>70</v>
      </c>
      <c r="B317" s="57" t="s">
        <v>65</v>
      </c>
      <c r="C317" s="57" t="s">
        <v>12</v>
      </c>
      <c r="D317" s="25">
        <v>16859.7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f>SUM(D317:I317)</f>
        <v>16859.7</v>
      </c>
      <c r="K317" s="8"/>
      <c r="L317" s="8"/>
    </row>
    <row r="318" spans="1:12" ht="16.5" hidden="1" thickBot="1">
      <c r="A318" s="57"/>
      <c r="B318" s="57"/>
      <c r="C318" s="57" t="s">
        <v>78</v>
      </c>
      <c r="D318" s="29"/>
      <c r="E318" s="29"/>
      <c r="F318" s="29"/>
      <c r="G318" s="29"/>
      <c r="H318" s="29"/>
      <c r="I318" s="29"/>
      <c r="J318" s="29">
        <f>SUM(D318:I318)</f>
        <v>0</v>
      </c>
      <c r="K318" s="8"/>
      <c r="L318" s="8"/>
    </row>
    <row r="319" spans="1:12">
      <c r="A319" s="57"/>
      <c r="B319" s="57"/>
      <c r="C319" s="57"/>
      <c r="D319" s="20"/>
      <c r="E319" s="20"/>
      <c r="F319" s="20"/>
      <c r="G319" s="20"/>
      <c r="H319" s="20"/>
      <c r="I319" s="20"/>
      <c r="J319" s="20"/>
      <c r="K319" s="8"/>
      <c r="L319" s="8"/>
    </row>
    <row r="320" spans="1:12" ht="16.5" thickBot="1">
      <c r="A320" s="57"/>
      <c r="B320" s="57"/>
      <c r="C320" s="57" t="s">
        <v>10</v>
      </c>
      <c r="D320" s="31">
        <f t="shared" ref="D320:I320" si="50">SUM(D317:D319)</f>
        <v>16859.7</v>
      </c>
      <c r="E320" s="31">
        <f t="shared" si="50"/>
        <v>0</v>
      </c>
      <c r="F320" s="31">
        <f t="shared" si="50"/>
        <v>0</v>
      </c>
      <c r="G320" s="31">
        <f t="shared" si="50"/>
        <v>0</v>
      </c>
      <c r="H320" s="31">
        <f t="shared" si="50"/>
        <v>0</v>
      </c>
      <c r="I320" s="31">
        <f t="shared" si="50"/>
        <v>0</v>
      </c>
      <c r="J320" s="31">
        <f>SUM(D320:I320)</f>
        <v>16859.7</v>
      </c>
      <c r="K320" s="8"/>
      <c r="L320" s="8"/>
    </row>
    <row r="321" spans="1:12" ht="16.5" thickTop="1">
      <c r="A321" s="57"/>
      <c r="B321" s="57"/>
      <c r="C321" s="57"/>
      <c r="D321" s="20"/>
      <c r="E321" s="20"/>
      <c r="F321" s="20"/>
      <c r="G321" s="20"/>
      <c r="H321" s="20"/>
      <c r="I321" s="20"/>
      <c r="J321" s="20"/>
      <c r="K321" s="8"/>
      <c r="L321" s="8"/>
    </row>
    <row r="322" spans="1:12">
      <c r="A322" s="57"/>
      <c r="B322" s="57"/>
      <c r="C322" s="57" t="s">
        <v>66</v>
      </c>
      <c r="D322" s="20">
        <f t="shared" ref="D322:I322" si="51">SUM(D10:D320)/2</f>
        <v>1242218.4600000009</v>
      </c>
      <c r="E322" s="20">
        <f t="shared" si="51"/>
        <v>16731.520000000004</v>
      </c>
      <c r="F322" s="20">
        <f t="shared" si="51"/>
        <v>5736.7300000000023</v>
      </c>
      <c r="G322" s="20">
        <f t="shared" si="51"/>
        <v>0</v>
      </c>
      <c r="H322" s="20">
        <f t="shared" si="51"/>
        <v>0</v>
      </c>
      <c r="I322" s="20">
        <f t="shared" si="51"/>
        <v>0</v>
      </c>
      <c r="J322" s="20">
        <f>SUM(D322:I322)</f>
        <v>1264686.7100000009</v>
      </c>
      <c r="K322" s="8"/>
      <c r="L322" s="8"/>
    </row>
    <row r="323" spans="1:12">
      <c r="A323" s="57"/>
      <c r="B323" s="57"/>
      <c r="C323" s="57"/>
      <c r="D323" s="20"/>
      <c r="E323" s="20"/>
      <c r="F323" s="20"/>
      <c r="G323" s="20"/>
      <c r="H323" s="20"/>
      <c r="I323" s="20"/>
      <c r="J323" s="20"/>
      <c r="K323" s="8"/>
      <c r="L323" s="8"/>
    </row>
    <row r="324" spans="1:12">
      <c r="A324" s="57"/>
      <c r="B324" s="57"/>
      <c r="C324" s="57"/>
      <c r="D324" s="20"/>
      <c r="E324" s="20"/>
      <c r="F324" s="20"/>
      <c r="G324" s="20"/>
      <c r="H324" s="20"/>
      <c r="I324" s="20"/>
      <c r="J324" s="20"/>
      <c r="K324" s="8"/>
      <c r="L324" s="8"/>
    </row>
  </sheetData>
  <pageMargins left="0.5" right="0.5" top="2" bottom="0.25" header="0.5" footer="0.5"/>
  <pageSetup scale="70" fitToHeight="50" orientation="portrait" r:id="rId1"/>
  <headerFooter alignWithMargins="0">
    <oddHeader xml:space="preserve">&amp;L&amp;"SWISS,Bold"&amp;16&amp;G
 </oddHeader>
    <oddFooter>&amp;L&amp;"SWISS,Bold"&amp;14
Cass County Finance Office
211 9th Street South
PO Box 2806
Fargo, ND 58108-2806
701-241-5600</oddFooter>
  </headerFooter>
  <rowBreaks count="51" manualBreakCount="51">
    <brk id="7" max="65535" man="1"/>
    <brk id="14" max="16383" man="1"/>
    <brk id="20" max="16383" man="1"/>
    <brk id="26" max="16383" man="1"/>
    <brk id="31" max="16383" man="1"/>
    <brk id="36" max="16383" man="1"/>
    <brk id="42" max="16383" man="1"/>
    <brk id="49" max="65535" man="1"/>
    <brk id="55" max="16383" man="1"/>
    <brk id="64" max="16383" man="1"/>
    <brk id="70" max="16383" man="1"/>
    <brk id="76" max="16383" man="1"/>
    <brk id="84" max="16383" man="1"/>
    <brk id="90" max="16383" man="1"/>
    <brk id="98" max="16383" man="1"/>
    <brk id="104" max="16383" man="1"/>
    <brk id="111" max="16383" man="1"/>
    <brk id="116" max="16383" man="1"/>
    <brk id="124" max="16383" man="1"/>
    <brk id="128" max="9" man="1"/>
    <brk id="133" max="16383" man="1"/>
    <brk id="140" max="16383" man="1"/>
    <brk id="146" max="16383" man="1"/>
    <brk id="154" max="16383" man="1"/>
    <brk id="159" max="9" man="1"/>
    <brk id="165" max="16383" man="1"/>
    <brk id="170" max="16383" man="1"/>
    <brk id="175" max="16383" man="1"/>
    <brk id="180" max="16383" man="1"/>
    <brk id="185" max="16383" man="1"/>
    <brk id="191" max="16383" man="1"/>
    <brk id="198" max="16383" man="1"/>
    <brk id="204" max="16383" man="1"/>
    <brk id="212" max="16383" man="1"/>
    <brk id="218" max="16383" man="1"/>
    <brk id="224" max="16383" man="1"/>
    <brk id="230" max="16383" man="1"/>
    <brk id="238" max="16383" man="1"/>
    <brk id="244" max="16383" man="1"/>
    <brk id="250" max="16383" man="1"/>
    <brk id="259" max="16383" man="1"/>
    <brk id="266" max="16383" man="1"/>
    <brk id="272" max="16383" man="1"/>
    <brk id="278" max="16383" man="1"/>
    <brk id="283" max="16383" man="1"/>
    <brk id="289" max="16383" man="1"/>
    <brk id="297" max="16383" man="1"/>
    <brk id="303" max="16383" man="1"/>
    <brk id="309" max="16383" man="1"/>
    <brk id="315" max="16383" man="1"/>
    <brk id="321" max="16383" man="1"/>
  </rowBreaks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D54FA-5357-47CD-81B0-017AE009310F}">
  <sheetPr>
    <pageSetUpPr autoPageBreaks="0"/>
  </sheetPr>
  <dimension ref="A1:L324"/>
  <sheetViews>
    <sheetView showOutlineSymbols="0" defaultGridColor="0" view="pageBreakPreview" colorId="23" zoomScale="80" zoomScaleNormal="75" zoomScaleSheetLayoutView="80" workbookViewId="0">
      <selection activeCell="D311" sqref="D311"/>
    </sheetView>
  </sheetViews>
  <sheetFormatPr defaultColWidth="9.6640625" defaultRowHeight="15.75"/>
  <cols>
    <col min="1" max="1" width="9.6640625" style="60" customWidth="1"/>
    <col min="2" max="2" width="20.21875" style="60" customWidth="1"/>
    <col min="3" max="3" width="24.44140625" style="60" bestFit="1" customWidth="1"/>
    <col min="4" max="5" width="12.77734375" style="23" customWidth="1"/>
    <col min="6" max="6" width="12.6640625" style="23" customWidth="1"/>
    <col min="7" max="8" width="11.6640625" style="23" hidden="1" customWidth="1"/>
    <col min="9" max="9" width="9.6640625" style="23" hidden="1" customWidth="1"/>
    <col min="10" max="10" width="14.44140625" style="23" customWidth="1"/>
    <col min="11" max="16384" width="9.6640625" style="10"/>
  </cols>
  <sheetData>
    <row r="1" spans="1:12">
      <c r="A1" s="57"/>
      <c r="B1" s="57"/>
      <c r="C1" s="57"/>
      <c r="D1" s="20"/>
      <c r="E1" s="20"/>
      <c r="F1" s="20"/>
      <c r="G1" s="20"/>
      <c r="H1" s="20"/>
      <c r="I1" s="21"/>
      <c r="J1" s="20"/>
      <c r="K1" s="8"/>
      <c r="L1" s="8"/>
    </row>
    <row r="2" spans="1:12">
      <c r="A2" s="57"/>
      <c r="B2" s="57"/>
      <c r="C2" s="57"/>
      <c r="D2" s="20"/>
      <c r="E2" s="20"/>
      <c r="F2" s="20"/>
      <c r="G2" s="20"/>
      <c r="H2" s="20"/>
      <c r="I2" s="20"/>
      <c r="J2" s="20"/>
      <c r="K2" s="8"/>
      <c r="L2" s="8"/>
    </row>
    <row r="3" spans="1:12">
      <c r="A3" s="57"/>
      <c r="B3" s="57"/>
      <c r="C3" s="57"/>
      <c r="D3" s="20"/>
      <c r="E3" s="20"/>
      <c r="F3" s="20"/>
      <c r="G3" s="20"/>
      <c r="H3" s="20"/>
      <c r="I3" s="20"/>
      <c r="J3" s="20"/>
      <c r="K3" s="8"/>
      <c r="L3" s="8"/>
    </row>
    <row r="4" spans="1:12" s="56" customFormat="1" ht="18">
      <c r="A4" s="58"/>
      <c r="B4" s="54" t="s">
        <v>1</v>
      </c>
      <c r="C4" s="54"/>
      <c r="D4" s="55"/>
      <c r="E4" s="55"/>
      <c r="F4" s="55"/>
      <c r="G4" s="55"/>
      <c r="H4" s="55"/>
      <c r="I4" s="55"/>
      <c r="J4" s="55"/>
      <c r="K4" s="53"/>
      <c r="L4" s="53"/>
    </row>
    <row r="5" spans="1:12" s="56" customFormat="1" ht="18">
      <c r="A5" s="58"/>
      <c r="B5" s="54" t="s">
        <v>129</v>
      </c>
      <c r="C5" s="54"/>
      <c r="D5" s="55"/>
      <c r="E5" s="55"/>
      <c r="F5" s="55"/>
      <c r="G5" s="55"/>
      <c r="H5" s="55"/>
      <c r="I5" s="55"/>
      <c r="J5" s="55"/>
      <c r="K5" s="53"/>
      <c r="L5" s="53"/>
    </row>
    <row r="6" spans="1:12" s="56" customFormat="1" ht="18">
      <c r="A6" s="58"/>
      <c r="B6" s="54"/>
      <c r="C6" s="54"/>
      <c r="D6" s="55"/>
      <c r="E6" s="55"/>
      <c r="F6" s="55"/>
      <c r="G6" s="55"/>
      <c r="H6" s="55"/>
      <c r="I6" s="55"/>
      <c r="J6" s="55"/>
      <c r="K6" s="53"/>
      <c r="L6" s="53"/>
    </row>
    <row r="7" spans="1:12">
      <c r="A7" s="57"/>
      <c r="B7" s="57"/>
      <c r="C7" s="57"/>
      <c r="D7" s="20"/>
      <c r="E7" s="20"/>
      <c r="F7" s="20"/>
      <c r="G7" s="20"/>
      <c r="H7" s="20"/>
      <c r="I7" s="20"/>
      <c r="J7" s="20"/>
      <c r="K7" s="8"/>
      <c r="L7" s="8"/>
    </row>
    <row r="8" spans="1:12">
      <c r="A8" s="57"/>
      <c r="B8" s="64" t="s">
        <v>90</v>
      </c>
      <c r="C8" s="64" t="s">
        <v>4</v>
      </c>
      <c r="D8" s="65">
        <v>2021</v>
      </c>
      <c r="E8" s="65">
        <v>2020</v>
      </c>
      <c r="F8" s="65">
        <v>2019</v>
      </c>
      <c r="G8" s="66">
        <v>2011</v>
      </c>
      <c r="H8" s="66">
        <v>2010</v>
      </c>
      <c r="I8" s="66">
        <v>2009</v>
      </c>
      <c r="J8" s="66" t="s">
        <v>10</v>
      </c>
      <c r="K8" s="8"/>
      <c r="L8" s="8"/>
    </row>
    <row r="9" spans="1:12">
      <c r="A9" s="57"/>
      <c r="B9" s="57"/>
      <c r="C9" s="57"/>
      <c r="D9" s="20"/>
      <c r="E9" s="20"/>
      <c r="F9" s="20"/>
      <c r="G9" s="20"/>
      <c r="H9" s="20"/>
      <c r="I9" s="20"/>
      <c r="J9" s="20"/>
      <c r="K9" s="8"/>
      <c r="L9" s="8"/>
    </row>
    <row r="10" spans="1:12">
      <c r="A10" s="57">
        <v>21</v>
      </c>
      <c r="B10" s="57" t="s">
        <v>11</v>
      </c>
      <c r="C10" s="57" t="s">
        <v>12</v>
      </c>
      <c r="D10" s="20">
        <v>20868.080000000002</v>
      </c>
      <c r="E10" s="20">
        <v>2.76</v>
      </c>
      <c r="F10" s="20">
        <v>4.17</v>
      </c>
      <c r="G10" s="20">
        <v>0</v>
      </c>
      <c r="H10" s="20">
        <v>0</v>
      </c>
      <c r="I10" s="20">
        <v>0</v>
      </c>
      <c r="J10" s="20">
        <f>SUM(D10:I10)</f>
        <v>20875.009999999998</v>
      </c>
      <c r="K10" s="8"/>
      <c r="L10" s="8"/>
    </row>
    <row r="11" spans="1:12" ht="16.5" thickBot="1">
      <c r="A11" s="57"/>
      <c r="B11" s="57"/>
      <c r="C11" s="57" t="s">
        <v>13</v>
      </c>
      <c r="D11" s="29">
        <v>391.13</v>
      </c>
      <c r="E11" s="29">
        <v>7.0000000000000007E-2</v>
      </c>
      <c r="F11" s="29">
        <v>7.0000000000000007E-2</v>
      </c>
      <c r="G11" s="29">
        <v>0</v>
      </c>
      <c r="H11" s="29">
        <v>0</v>
      </c>
      <c r="I11" s="29">
        <v>0</v>
      </c>
      <c r="J11" s="29">
        <f>SUM(D11:I11)</f>
        <v>391.27</v>
      </c>
      <c r="K11" s="8"/>
      <c r="L11" s="8"/>
    </row>
    <row r="12" spans="1:12">
      <c r="A12" s="57"/>
      <c r="B12" s="57"/>
      <c r="C12" s="57"/>
      <c r="D12" s="20"/>
      <c r="E12" s="20"/>
      <c r="F12" s="20"/>
      <c r="G12" s="20"/>
      <c r="H12" s="20"/>
      <c r="I12" s="20"/>
      <c r="J12" s="20"/>
      <c r="K12" s="8"/>
      <c r="L12" s="8"/>
    </row>
    <row r="13" spans="1:12" ht="16.5" thickBot="1">
      <c r="A13" s="57"/>
      <c r="B13" s="57"/>
      <c r="C13" s="57" t="s">
        <v>10</v>
      </c>
      <c r="D13" s="31">
        <f t="shared" ref="D13:I13" si="0">SUM(D10:D11)</f>
        <v>21259.210000000003</v>
      </c>
      <c r="E13" s="31">
        <f t="shared" si="0"/>
        <v>2.8299999999999996</v>
      </c>
      <c r="F13" s="31">
        <f t="shared" si="0"/>
        <v>4.24</v>
      </c>
      <c r="G13" s="31">
        <f t="shared" si="0"/>
        <v>0</v>
      </c>
      <c r="H13" s="31">
        <f t="shared" si="0"/>
        <v>0</v>
      </c>
      <c r="I13" s="31">
        <f t="shared" si="0"/>
        <v>0</v>
      </c>
      <c r="J13" s="31">
        <f>SUM(D13:I13)</f>
        <v>21266.280000000006</v>
      </c>
      <c r="K13" s="8"/>
      <c r="L13" s="8"/>
    </row>
    <row r="14" spans="1:12" ht="16.5" thickTop="1">
      <c r="A14" s="57"/>
      <c r="B14" s="57"/>
      <c r="C14" s="57"/>
      <c r="D14" s="20"/>
      <c r="E14" s="20"/>
      <c r="F14" s="20"/>
      <c r="G14" s="20"/>
      <c r="H14" s="20"/>
      <c r="I14" s="20"/>
      <c r="J14" s="20"/>
      <c r="K14" s="8"/>
      <c r="L14" s="8"/>
    </row>
    <row r="15" spans="1:12">
      <c r="A15" s="57"/>
      <c r="B15" s="57"/>
      <c r="C15" s="57"/>
      <c r="D15" s="20"/>
      <c r="E15" s="20"/>
      <c r="F15" s="20"/>
      <c r="G15" s="20"/>
      <c r="H15" s="20"/>
      <c r="I15" s="20"/>
      <c r="J15" s="20"/>
      <c r="K15" s="8"/>
      <c r="L15" s="8"/>
    </row>
    <row r="16" spans="1:12">
      <c r="A16" s="57">
        <v>22</v>
      </c>
      <c r="B16" s="57" t="s">
        <v>15</v>
      </c>
      <c r="C16" s="57" t="s">
        <v>12</v>
      </c>
      <c r="D16" s="20">
        <v>22905.05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f>SUM(D16:I16)</f>
        <v>22905.05</v>
      </c>
      <c r="K16" s="8"/>
      <c r="L16" s="8"/>
    </row>
    <row r="17" spans="1:12" ht="16.5" thickBot="1">
      <c r="A17" s="57"/>
      <c r="B17" s="57"/>
      <c r="C17" s="57" t="s">
        <v>13</v>
      </c>
      <c r="D17" s="29">
        <v>645.94000000000005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f>SUM(D17:I17)</f>
        <v>645.94000000000005</v>
      </c>
      <c r="K17" s="8"/>
      <c r="L17" s="8"/>
    </row>
    <row r="18" spans="1:12">
      <c r="A18" s="57"/>
      <c r="B18" s="57"/>
      <c r="C18" s="57"/>
      <c r="D18" s="20"/>
      <c r="E18" s="20"/>
      <c r="F18" s="20"/>
      <c r="G18" s="20"/>
      <c r="H18" s="20"/>
      <c r="I18" s="20"/>
      <c r="J18" s="20"/>
      <c r="K18" s="8"/>
      <c r="L18" s="8"/>
    </row>
    <row r="19" spans="1:12" ht="16.5" thickBot="1">
      <c r="A19" s="57"/>
      <c r="B19" s="57"/>
      <c r="C19" s="57" t="s">
        <v>10</v>
      </c>
      <c r="D19" s="31">
        <f t="shared" ref="D19:I19" si="1">SUM(D16:D17)</f>
        <v>23550.989999999998</v>
      </c>
      <c r="E19" s="31">
        <f t="shared" si="1"/>
        <v>0</v>
      </c>
      <c r="F19" s="31">
        <f t="shared" si="1"/>
        <v>0</v>
      </c>
      <c r="G19" s="31">
        <f t="shared" si="1"/>
        <v>0</v>
      </c>
      <c r="H19" s="31">
        <f t="shared" si="1"/>
        <v>0</v>
      </c>
      <c r="I19" s="31">
        <f t="shared" si="1"/>
        <v>0</v>
      </c>
      <c r="J19" s="31">
        <f>SUM(D19:I19)</f>
        <v>23550.989999999998</v>
      </c>
      <c r="K19" s="8"/>
      <c r="L19" s="8"/>
    </row>
    <row r="20" spans="1:12" ht="16.5" thickTop="1">
      <c r="A20" s="57"/>
      <c r="B20" s="57"/>
      <c r="C20" s="57"/>
      <c r="D20" s="20"/>
      <c r="E20" s="20"/>
      <c r="F20" s="20"/>
      <c r="G20" s="20"/>
      <c r="H20" s="20"/>
      <c r="I20" s="20"/>
      <c r="J20" s="20"/>
      <c r="K20" s="8"/>
      <c r="L20" s="8"/>
    </row>
    <row r="21" spans="1:12">
      <c r="A21" s="57"/>
      <c r="B21" s="57"/>
      <c r="C21" s="57"/>
      <c r="D21" s="20"/>
      <c r="E21" s="20"/>
      <c r="F21" s="20"/>
      <c r="G21" s="20"/>
      <c r="H21" s="20"/>
      <c r="I21" s="20"/>
      <c r="J21" s="20"/>
      <c r="K21" s="8"/>
      <c r="L21" s="8"/>
    </row>
    <row r="22" spans="1:12" ht="16.5" thickBot="1">
      <c r="A22" s="57">
        <v>23</v>
      </c>
      <c r="B22" s="57" t="s">
        <v>16</v>
      </c>
      <c r="C22" s="57" t="s">
        <v>12</v>
      </c>
      <c r="D22" s="29">
        <v>18043.05</v>
      </c>
      <c r="E22" s="50">
        <v>428.62</v>
      </c>
      <c r="F22" s="29">
        <v>91.31</v>
      </c>
      <c r="G22" s="29">
        <v>0</v>
      </c>
      <c r="H22" s="29">
        <v>0</v>
      </c>
      <c r="I22" s="29">
        <v>0</v>
      </c>
      <c r="J22" s="29">
        <f>SUM(D22:I22)</f>
        <v>18562.98</v>
      </c>
      <c r="K22" s="8"/>
      <c r="L22" s="8"/>
    </row>
    <row r="23" spans="1:12" ht="16.5" hidden="1" thickBot="1">
      <c r="A23" s="57"/>
      <c r="B23" s="57"/>
      <c r="C23" s="57" t="s">
        <v>13</v>
      </c>
      <c r="D23" s="29"/>
      <c r="E23" s="29"/>
      <c r="F23" s="29"/>
      <c r="G23" s="29"/>
      <c r="H23" s="29"/>
      <c r="I23" s="29"/>
      <c r="J23" s="29">
        <f>SUM(D23:I23)</f>
        <v>0</v>
      </c>
      <c r="K23" s="8"/>
      <c r="L23" s="8"/>
    </row>
    <row r="24" spans="1:12">
      <c r="A24" s="57"/>
      <c r="B24" s="57"/>
      <c r="C24" s="57"/>
      <c r="D24" s="20"/>
      <c r="E24" s="20"/>
      <c r="F24" s="20"/>
      <c r="G24" s="20"/>
      <c r="H24" s="20"/>
      <c r="I24" s="20"/>
      <c r="J24" s="20"/>
      <c r="K24" s="8"/>
      <c r="L24" s="8"/>
    </row>
    <row r="25" spans="1:12" ht="16.5" thickBot="1">
      <c r="A25" s="57"/>
      <c r="B25" s="57"/>
      <c r="C25" s="57" t="s">
        <v>10</v>
      </c>
      <c r="D25" s="31">
        <f t="shared" ref="D25:I25" si="2">SUM(D22:D23)</f>
        <v>18043.05</v>
      </c>
      <c r="E25" s="31">
        <f t="shared" si="2"/>
        <v>428.62</v>
      </c>
      <c r="F25" s="31">
        <f t="shared" si="2"/>
        <v>91.31</v>
      </c>
      <c r="G25" s="31">
        <f t="shared" si="2"/>
        <v>0</v>
      </c>
      <c r="H25" s="31">
        <f t="shared" si="2"/>
        <v>0</v>
      </c>
      <c r="I25" s="31">
        <f t="shared" si="2"/>
        <v>0</v>
      </c>
      <c r="J25" s="31">
        <f>SUM(D25:I25)</f>
        <v>18562.98</v>
      </c>
      <c r="K25" s="8"/>
      <c r="L25" s="8"/>
    </row>
    <row r="26" spans="1:12" ht="16.5" thickTop="1">
      <c r="A26" s="57"/>
      <c r="B26" s="57"/>
      <c r="C26" s="57"/>
      <c r="D26" s="20"/>
      <c r="E26" s="20"/>
      <c r="F26" s="20"/>
      <c r="G26" s="20"/>
      <c r="H26" s="20"/>
      <c r="I26" s="20"/>
      <c r="J26" s="20"/>
      <c r="K26" s="8"/>
      <c r="L26" s="8"/>
    </row>
    <row r="27" spans="1:12">
      <c r="A27" s="57"/>
      <c r="B27" s="57"/>
      <c r="C27" s="57"/>
      <c r="D27" s="20"/>
      <c r="E27" s="20"/>
      <c r="F27" s="20"/>
      <c r="G27" s="20"/>
      <c r="H27" s="20"/>
      <c r="I27" s="20"/>
      <c r="J27" s="20"/>
      <c r="K27" s="8"/>
      <c r="L27" s="8"/>
    </row>
    <row r="28" spans="1:12" ht="16.5" thickBot="1">
      <c r="A28" s="57">
        <v>24</v>
      </c>
      <c r="B28" s="57" t="s">
        <v>17</v>
      </c>
      <c r="C28" s="57" t="s">
        <v>12</v>
      </c>
      <c r="D28" s="29">
        <v>14916.32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f>SUM(D28:I28)</f>
        <v>14916.32</v>
      </c>
      <c r="K28" s="8"/>
      <c r="L28" s="8"/>
    </row>
    <row r="29" spans="1:12">
      <c r="A29" s="57"/>
      <c r="B29" s="57"/>
      <c r="C29" s="57"/>
      <c r="D29" s="20"/>
      <c r="E29" s="20"/>
      <c r="F29" s="20"/>
      <c r="G29" s="20"/>
      <c r="H29" s="20"/>
      <c r="I29" s="20"/>
      <c r="J29" s="20"/>
      <c r="K29" s="8"/>
      <c r="L29" s="8"/>
    </row>
    <row r="30" spans="1:12" ht="16.5" thickBot="1">
      <c r="A30" s="57"/>
      <c r="B30" s="57"/>
      <c r="C30" s="57" t="s">
        <v>10</v>
      </c>
      <c r="D30" s="31">
        <f t="shared" ref="D30:I30" si="3">SUM(D28:D29)</f>
        <v>14916.32</v>
      </c>
      <c r="E30" s="31">
        <f t="shared" si="3"/>
        <v>0</v>
      </c>
      <c r="F30" s="31">
        <f t="shared" si="3"/>
        <v>0</v>
      </c>
      <c r="G30" s="31">
        <f t="shared" si="3"/>
        <v>0</v>
      </c>
      <c r="H30" s="31">
        <f t="shared" si="3"/>
        <v>0</v>
      </c>
      <c r="I30" s="31">
        <f t="shared" si="3"/>
        <v>0</v>
      </c>
      <c r="J30" s="31">
        <f>SUM(D30:I30)</f>
        <v>14916.32</v>
      </c>
      <c r="K30" s="8"/>
      <c r="L30" s="8"/>
    </row>
    <row r="31" spans="1:12" ht="16.5" thickTop="1">
      <c r="A31" s="57"/>
      <c r="B31" s="57"/>
      <c r="C31" s="57"/>
      <c r="D31" s="20"/>
      <c r="E31" s="20"/>
      <c r="F31" s="20"/>
      <c r="G31" s="20"/>
      <c r="H31" s="20"/>
      <c r="I31" s="20"/>
      <c r="J31" s="20"/>
      <c r="K31" s="8"/>
      <c r="L31" s="8"/>
    </row>
    <row r="32" spans="1:12">
      <c r="A32" s="57"/>
      <c r="B32" s="57"/>
      <c r="C32" s="57"/>
      <c r="D32" s="20"/>
      <c r="E32" s="20"/>
      <c r="F32" s="20"/>
      <c r="G32" s="20"/>
      <c r="H32" s="20"/>
      <c r="I32" s="20"/>
      <c r="J32" s="20"/>
      <c r="K32" s="8"/>
      <c r="L32" s="8"/>
    </row>
    <row r="33" spans="1:12" ht="16.5" thickBot="1">
      <c r="A33" s="57">
        <v>25</v>
      </c>
      <c r="B33" s="57" t="s">
        <v>18</v>
      </c>
      <c r="C33" s="57" t="s">
        <v>12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f>SUM(D33:I33)</f>
        <v>0</v>
      </c>
      <c r="K33" s="8"/>
      <c r="L33" s="8"/>
    </row>
    <row r="34" spans="1:12">
      <c r="A34" s="57"/>
      <c r="B34" s="57"/>
      <c r="C34" s="57"/>
      <c r="D34" s="20"/>
      <c r="E34" s="20"/>
      <c r="F34" s="20"/>
      <c r="G34" s="20"/>
      <c r="H34" s="20"/>
      <c r="I34" s="20"/>
      <c r="J34" s="20"/>
      <c r="K34" s="8"/>
      <c r="L34" s="8"/>
    </row>
    <row r="35" spans="1:12" ht="16.5" thickBot="1">
      <c r="A35" s="57"/>
      <c r="B35" s="57"/>
      <c r="C35" s="57" t="s">
        <v>10</v>
      </c>
      <c r="D35" s="31">
        <f t="shared" ref="D35:I35" si="4">SUM(D33:D34)</f>
        <v>0</v>
      </c>
      <c r="E35" s="31">
        <f t="shared" si="4"/>
        <v>0</v>
      </c>
      <c r="F35" s="31">
        <f t="shared" si="4"/>
        <v>0</v>
      </c>
      <c r="G35" s="31">
        <f t="shared" si="4"/>
        <v>0</v>
      </c>
      <c r="H35" s="31">
        <f t="shared" si="4"/>
        <v>0</v>
      </c>
      <c r="I35" s="31">
        <f t="shared" si="4"/>
        <v>0</v>
      </c>
      <c r="J35" s="31">
        <f>SUM(D35:I35)</f>
        <v>0</v>
      </c>
      <c r="K35" s="8"/>
      <c r="L35" s="8"/>
    </row>
    <row r="36" spans="1:12" ht="16.5" thickTop="1">
      <c r="A36" s="57"/>
      <c r="B36" s="57"/>
      <c r="C36" s="57"/>
      <c r="D36" s="20"/>
      <c r="E36" s="20"/>
      <c r="F36" s="20"/>
      <c r="G36" s="20"/>
      <c r="H36" s="20"/>
      <c r="I36" s="20"/>
      <c r="J36" s="20"/>
      <c r="K36" s="8"/>
      <c r="L36" s="8"/>
    </row>
    <row r="37" spans="1:12">
      <c r="A37" s="57"/>
      <c r="B37" s="57"/>
      <c r="C37" s="57"/>
      <c r="D37" s="20"/>
      <c r="E37" s="20"/>
      <c r="F37" s="20"/>
      <c r="G37" s="20"/>
      <c r="H37" s="20"/>
      <c r="I37" s="20"/>
      <c r="J37" s="20"/>
      <c r="K37" s="8"/>
      <c r="L37" s="8"/>
    </row>
    <row r="38" spans="1:12" ht="16.5" thickBot="1">
      <c r="A38" s="57">
        <v>26</v>
      </c>
      <c r="B38" s="57" t="s">
        <v>19</v>
      </c>
      <c r="C38" s="57" t="s">
        <v>12</v>
      </c>
      <c r="D38" s="29">
        <v>17675.8</v>
      </c>
      <c r="E38" s="29">
        <v>190.17</v>
      </c>
      <c r="F38" s="29">
        <v>0</v>
      </c>
      <c r="G38" s="29">
        <v>0</v>
      </c>
      <c r="H38" s="29">
        <v>0</v>
      </c>
      <c r="I38" s="29">
        <v>0</v>
      </c>
      <c r="J38" s="29">
        <f>SUM(D38:I38)</f>
        <v>17865.969999999998</v>
      </c>
      <c r="K38" s="8"/>
      <c r="L38" s="8"/>
    </row>
    <row r="39" spans="1:12" ht="16.5" hidden="1" thickBot="1">
      <c r="A39" s="57"/>
      <c r="B39" s="57"/>
      <c r="C39" s="57" t="s">
        <v>13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f>SUM(D39:I39)</f>
        <v>0</v>
      </c>
      <c r="K39" s="8"/>
      <c r="L39" s="8"/>
    </row>
    <row r="40" spans="1:12">
      <c r="A40" s="57"/>
      <c r="B40" s="57"/>
      <c r="C40" s="57"/>
      <c r="D40" s="20"/>
      <c r="E40" s="20"/>
      <c r="F40" s="20"/>
      <c r="G40" s="20"/>
      <c r="H40" s="20"/>
      <c r="I40" s="20"/>
      <c r="J40" s="20"/>
      <c r="K40" s="8"/>
      <c r="L40" s="8"/>
    </row>
    <row r="41" spans="1:12" ht="16.5" thickBot="1">
      <c r="A41" s="57"/>
      <c r="B41" s="57"/>
      <c r="C41" s="57" t="s">
        <v>10</v>
      </c>
      <c r="D41" s="31">
        <f t="shared" ref="D41:I41" si="5">SUM(D38:D39)</f>
        <v>17675.8</v>
      </c>
      <c r="E41" s="31">
        <f t="shared" si="5"/>
        <v>190.17</v>
      </c>
      <c r="F41" s="31">
        <f t="shared" si="5"/>
        <v>0</v>
      </c>
      <c r="G41" s="31">
        <f t="shared" si="5"/>
        <v>0</v>
      </c>
      <c r="H41" s="31">
        <f t="shared" si="5"/>
        <v>0</v>
      </c>
      <c r="I41" s="31">
        <f t="shared" si="5"/>
        <v>0</v>
      </c>
      <c r="J41" s="31">
        <f>SUM(D41:I41)</f>
        <v>17865.969999999998</v>
      </c>
      <c r="K41" s="8"/>
      <c r="L41" s="8"/>
    </row>
    <row r="42" spans="1:12" ht="16.5" thickTop="1">
      <c r="A42" s="57"/>
      <c r="B42" s="57"/>
      <c r="C42" s="57"/>
      <c r="D42" s="20"/>
      <c r="E42" s="20"/>
      <c r="F42" s="20"/>
      <c r="G42" s="20"/>
      <c r="H42" s="20"/>
      <c r="I42" s="20"/>
      <c r="J42" s="20"/>
      <c r="K42" s="8"/>
      <c r="L42" s="8"/>
    </row>
    <row r="43" spans="1:12">
      <c r="A43" s="57"/>
      <c r="B43" s="57"/>
      <c r="C43" s="57"/>
      <c r="D43" s="20"/>
      <c r="E43" s="20"/>
      <c r="F43" s="20"/>
      <c r="G43" s="20"/>
      <c r="H43" s="20"/>
      <c r="I43" s="20"/>
      <c r="J43" s="20"/>
      <c r="K43" s="8"/>
      <c r="L43" s="8"/>
    </row>
    <row r="44" spans="1:12" ht="16.5" thickBot="1">
      <c r="A44" s="57">
        <v>27</v>
      </c>
      <c r="B44" s="57" t="s">
        <v>20</v>
      </c>
      <c r="C44" s="57" t="s">
        <v>12</v>
      </c>
      <c r="D44" s="29">
        <v>24005.48</v>
      </c>
      <c r="E44" s="29">
        <v>86.76</v>
      </c>
      <c r="F44" s="29">
        <v>0</v>
      </c>
      <c r="G44" s="29">
        <v>0</v>
      </c>
      <c r="H44" s="29">
        <v>0</v>
      </c>
      <c r="I44" s="29">
        <v>0</v>
      </c>
      <c r="J44" s="29">
        <f>SUM(D44:I44)</f>
        <v>24092.239999999998</v>
      </c>
      <c r="K44" s="8"/>
      <c r="L44" s="8"/>
    </row>
    <row r="45" spans="1:12">
      <c r="A45" s="57"/>
      <c r="B45" s="57"/>
      <c r="C45" s="57"/>
      <c r="D45" s="20"/>
      <c r="E45" s="20"/>
      <c r="F45" s="20"/>
      <c r="G45" s="20"/>
      <c r="H45" s="20"/>
      <c r="I45" s="20"/>
      <c r="J45" s="20"/>
      <c r="K45" s="8"/>
      <c r="L45" s="8"/>
    </row>
    <row r="46" spans="1:12" ht="16.5" thickBot="1">
      <c r="A46" s="57"/>
      <c r="B46" s="57"/>
      <c r="C46" s="57" t="s">
        <v>10</v>
      </c>
      <c r="D46" s="31">
        <f t="shared" ref="D46:I46" si="6">SUM(D44:D45)</f>
        <v>24005.48</v>
      </c>
      <c r="E46" s="31">
        <f t="shared" si="6"/>
        <v>86.76</v>
      </c>
      <c r="F46" s="31">
        <f t="shared" si="6"/>
        <v>0</v>
      </c>
      <c r="G46" s="31">
        <f t="shared" si="6"/>
        <v>0</v>
      </c>
      <c r="H46" s="31">
        <f t="shared" si="6"/>
        <v>0</v>
      </c>
      <c r="I46" s="31">
        <f t="shared" si="6"/>
        <v>0</v>
      </c>
      <c r="J46" s="31">
        <f>SUM(D46:I46)</f>
        <v>24092.239999999998</v>
      </c>
      <c r="K46" s="8"/>
      <c r="L46" s="8"/>
    </row>
    <row r="47" spans="1:12" ht="16.5" thickTop="1">
      <c r="A47" s="57"/>
      <c r="B47" s="57"/>
      <c r="C47" s="57"/>
      <c r="D47" s="20"/>
      <c r="E47" s="20"/>
      <c r="F47" s="20"/>
      <c r="G47" s="20"/>
      <c r="H47" s="20"/>
      <c r="I47" s="20"/>
      <c r="J47" s="20"/>
      <c r="K47" s="8"/>
      <c r="L47" s="8"/>
    </row>
    <row r="48" spans="1:12">
      <c r="A48" s="57"/>
      <c r="B48" s="57"/>
      <c r="C48" s="57"/>
      <c r="D48" s="20"/>
      <c r="E48" s="20"/>
      <c r="F48" s="20"/>
      <c r="G48" s="20"/>
      <c r="H48" s="20"/>
      <c r="I48" s="20"/>
      <c r="J48" s="20"/>
      <c r="K48" s="8"/>
      <c r="L48" s="8"/>
    </row>
    <row r="49" spans="1:12">
      <c r="A49" s="57"/>
      <c r="B49" s="57"/>
      <c r="C49" s="57"/>
      <c r="D49" s="20"/>
      <c r="E49" s="20"/>
      <c r="F49" s="20"/>
      <c r="G49" s="20"/>
      <c r="H49" s="20"/>
      <c r="I49" s="20"/>
      <c r="J49" s="20"/>
      <c r="K49" s="8"/>
      <c r="L49" s="8"/>
    </row>
    <row r="50" spans="1:12">
      <c r="A50" s="57"/>
      <c r="B50" s="57"/>
      <c r="C50" s="57"/>
      <c r="D50" s="20"/>
      <c r="E50" s="20"/>
      <c r="F50" s="20"/>
      <c r="G50" s="20"/>
      <c r="H50" s="20"/>
      <c r="I50" s="20"/>
      <c r="J50" s="20"/>
      <c r="K50" s="8"/>
      <c r="L50" s="8"/>
    </row>
    <row r="51" spans="1:12" ht="16.5" thickBot="1">
      <c r="A51" s="57">
        <v>28</v>
      </c>
      <c r="B51" s="57" t="s">
        <v>21</v>
      </c>
      <c r="C51" s="57" t="s">
        <v>12</v>
      </c>
      <c r="D51" s="29">
        <v>25966.32</v>
      </c>
      <c r="E51" s="29">
        <v>1035.7</v>
      </c>
      <c r="F51" s="29">
        <v>37.53</v>
      </c>
      <c r="G51" s="29">
        <v>0</v>
      </c>
      <c r="H51" s="29">
        <v>0</v>
      </c>
      <c r="I51" s="29">
        <v>0</v>
      </c>
      <c r="J51" s="29">
        <f>SUM(D51:I51)</f>
        <v>27039.55</v>
      </c>
      <c r="K51" s="8"/>
      <c r="L51" s="8"/>
    </row>
    <row r="52" spans="1:12" ht="16.5" hidden="1" thickBot="1">
      <c r="A52" s="57"/>
      <c r="B52" s="57"/>
      <c r="C52" s="57" t="s">
        <v>13</v>
      </c>
      <c r="D52" s="29"/>
      <c r="E52" s="29"/>
      <c r="F52" s="29"/>
      <c r="G52" s="29"/>
      <c r="H52" s="29"/>
      <c r="I52" s="29"/>
      <c r="J52" s="29">
        <f>SUM(D52:I52)</f>
        <v>0</v>
      </c>
      <c r="K52" s="8"/>
      <c r="L52" s="8"/>
    </row>
    <row r="53" spans="1:12">
      <c r="A53" s="57"/>
      <c r="B53" s="57"/>
      <c r="C53" s="57"/>
      <c r="D53" s="20"/>
      <c r="E53" s="20"/>
      <c r="F53" s="20"/>
      <c r="G53" s="20"/>
      <c r="H53" s="20"/>
      <c r="I53" s="20"/>
      <c r="J53" s="20"/>
      <c r="K53" s="8"/>
      <c r="L53" s="8"/>
    </row>
    <row r="54" spans="1:12" ht="16.5" thickBot="1">
      <c r="A54" s="57"/>
      <c r="B54" s="57"/>
      <c r="C54" s="57" t="s">
        <v>10</v>
      </c>
      <c r="D54" s="31">
        <f t="shared" ref="D54:I54" si="7">SUM(D51:D52)</f>
        <v>25966.32</v>
      </c>
      <c r="E54" s="31">
        <f t="shared" si="7"/>
        <v>1035.7</v>
      </c>
      <c r="F54" s="31">
        <f t="shared" si="7"/>
        <v>37.53</v>
      </c>
      <c r="G54" s="31">
        <f t="shared" si="7"/>
        <v>0</v>
      </c>
      <c r="H54" s="31">
        <f t="shared" si="7"/>
        <v>0</v>
      </c>
      <c r="I54" s="31">
        <f t="shared" si="7"/>
        <v>0</v>
      </c>
      <c r="J54" s="31">
        <f>SUM(D54:I54)</f>
        <v>27039.55</v>
      </c>
      <c r="K54" s="8"/>
      <c r="L54" s="8"/>
    </row>
    <row r="55" spans="1:12" ht="16.5" thickTop="1">
      <c r="A55" s="57"/>
      <c r="B55" s="57"/>
      <c r="C55" s="57"/>
      <c r="D55" s="20"/>
      <c r="E55" s="20"/>
      <c r="F55" s="20"/>
      <c r="G55" s="20"/>
      <c r="H55" s="20"/>
      <c r="I55" s="20"/>
      <c r="J55" s="20"/>
      <c r="K55" s="8"/>
      <c r="L55" s="8"/>
    </row>
    <row r="56" spans="1:12">
      <c r="A56" s="57"/>
      <c r="B56" s="57"/>
      <c r="C56" s="57"/>
      <c r="D56" s="20"/>
      <c r="E56" s="20"/>
      <c r="F56" s="20"/>
      <c r="G56" s="20"/>
      <c r="H56" s="20"/>
      <c r="I56" s="20"/>
      <c r="J56" s="20"/>
      <c r="K56" s="8"/>
      <c r="L56" s="8"/>
    </row>
    <row r="57" spans="1:12">
      <c r="A57" s="57">
        <v>29</v>
      </c>
      <c r="B57" s="57" t="s">
        <v>22</v>
      </c>
      <c r="C57" s="57" t="s">
        <v>12</v>
      </c>
      <c r="D57" s="20">
        <v>80188.259999999995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f>SUM(D57:I57)</f>
        <v>80188.259999999995</v>
      </c>
      <c r="K57" s="8"/>
      <c r="L57" s="8"/>
    </row>
    <row r="58" spans="1:12" hidden="1">
      <c r="A58" s="57"/>
      <c r="B58" s="57"/>
      <c r="C58" s="57" t="s">
        <v>35</v>
      </c>
      <c r="D58" s="20"/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f>SUM(D58:I58)</f>
        <v>0</v>
      </c>
      <c r="K58" s="8"/>
      <c r="L58" s="8"/>
    </row>
    <row r="59" spans="1:12">
      <c r="A59" s="57"/>
      <c r="B59" s="57"/>
      <c r="C59" s="57" t="s">
        <v>13</v>
      </c>
      <c r="D59" s="20">
        <v>2292.38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f>SUM(D59:I59)</f>
        <v>2292.38</v>
      </c>
      <c r="K59" s="8"/>
      <c r="L59" s="8"/>
    </row>
    <row r="60" spans="1:12" hidden="1">
      <c r="A60" s="57"/>
      <c r="B60" s="57"/>
      <c r="C60" s="57" t="s">
        <v>78</v>
      </c>
      <c r="D60" s="20"/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f>SUM(D60:I60)</f>
        <v>0</v>
      </c>
      <c r="K60" s="8"/>
      <c r="L60" s="8"/>
    </row>
    <row r="61" spans="1:12" ht="16.5" hidden="1" thickBot="1">
      <c r="A61" s="57"/>
      <c r="B61" s="57"/>
      <c r="C61" s="57" t="s">
        <v>114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f>SUM(D61:I61)</f>
        <v>0</v>
      </c>
      <c r="K61" s="8"/>
      <c r="L61" s="8"/>
    </row>
    <row r="62" spans="1:12">
      <c r="A62" s="57"/>
      <c r="B62" s="57"/>
      <c r="C62" s="57"/>
      <c r="D62" s="20"/>
      <c r="E62" s="20"/>
      <c r="F62" s="20"/>
      <c r="G62" s="20"/>
      <c r="H62" s="20"/>
      <c r="I62" s="20"/>
      <c r="J62" s="20"/>
      <c r="K62" s="8"/>
      <c r="L62" s="8"/>
    </row>
    <row r="63" spans="1:12" ht="16.5" thickBot="1">
      <c r="A63" s="57"/>
      <c r="B63" s="57"/>
      <c r="C63" s="57" t="s">
        <v>10</v>
      </c>
      <c r="D63" s="31">
        <f t="shared" ref="D63:I63" si="8">SUM(D57:D61)</f>
        <v>82480.639999999999</v>
      </c>
      <c r="E63" s="31">
        <f t="shared" si="8"/>
        <v>0</v>
      </c>
      <c r="F63" s="31">
        <f t="shared" si="8"/>
        <v>0</v>
      </c>
      <c r="G63" s="31">
        <f t="shared" si="8"/>
        <v>0</v>
      </c>
      <c r="H63" s="31">
        <f t="shared" si="8"/>
        <v>0</v>
      </c>
      <c r="I63" s="31">
        <f t="shared" si="8"/>
        <v>0</v>
      </c>
      <c r="J63" s="31">
        <f>SUM(D63:I63)</f>
        <v>82480.639999999999</v>
      </c>
      <c r="K63" s="8"/>
      <c r="L63" s="8"/>
    </row>
    <row r="64" spans="1:12" ht="16.5" thickTop="1">
      <c r="A64" s="57"/>
      <c r="B64" s="57"/>
      <c r="C64" s="57"/>
      <c r="D64" s="20"/>
      <c r="E64" s="20"/>
      <c r="F64" s="20"/>
      <c r="G64" s="20"/>
      <c r="H64" s="20"/>
      <c r="I64" s="20"/>
      <c r="J64" s="20"/>
      <c r="K64" s="8"/>
      <c r="L64" s="8"/>
    </row>
    <row r="65" spans="1:12">
      <c r="A65" s="57"/>
      <c r="B65" s="57"/>
      <c r="C65" s="57"/>
      <c r="D65" s="20"/>
      <c r="E65" s="20"/>
      <c r="F65" s="20"/>
      <c r="G65" s="20"/>
      <c r="H65" s="20"/>
      <c r="I65" s="20"/>
      <c r="J65" s="20"/>
      <c r="K65" s="8"/>
      <c r="L65" s="8"/>
    </row>
    <row r="66" spans="1:12">
      <c r="A66" s="57">
        <v>30</v>
      </c>
      <c r="B66" s="57" t="s">
        <v>23</v>
      </c>
      <c r="C66" s="57" t="s">
        <v>12</v>
      </c>
      <c r="D66" s="20">
        <v>11568.59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f>SUM(D66:I66)</f>
        <v>11568.59</v>
      </c>
      <c r="K66" s="8"/>
      <c r="L66" s="8"/>
    </row>
    <row r="67" spans="1:12" ht="16.5" thickBot="1">
      <c r="A67" s="57"/>
      <c r="B67" s="57"/>
      <c r="C67" s="57" t="s">
        <v>116</v>
      </c>
      <c r="D67" s="29">
        <v>14504.18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f>SUM(D67:I67)</f>
        <v>14504.18</v>
      </c>
      <c r="K67" s="8"/>
      <c r="L67" s="8"/>
    </row>
    <row r="68" spans="1:12">
      <c r="A68" s="57"/>
      <c r="B68" s="57"/>
      <c r="C68" s="57"/>
      <c r="D68" s="20"/>
      <c r="E68" s="20"/>
      <c r="F68" s="20"/>
      <c r="G68" s="20"/>
      <c r="H68" s="20"/>
      <c r="I68" s="20"/>
      <c r="J68" s="20"/>
      <c r="K68" s="8"/>
      <c r="L68" s="8"/>
    </row>
    <row r="69" spans="1:12" ht="16.5" thickBot="1">
      <c r="A69" s="57"/>
      <c r="B69" s="57"/>
      <c r="C69" s="61" t="s">
        <v>10</v>
      </c>
      <c r="D69" s="31">
        <f t="shared" ref="D69:I69" si="9">SUM(D66:D67)</f>
        <v>26072.77</v>
      </c>
      <c r="E69" s="31">
        <f t="shared" si="9"/>
        <v>0</v>
      </c>
      <c r="F69" s="31">
        <f t="shared" si="9"/>
        <v>0</v>
      </c>
      <c r="G69" s="31">
        <f t="shared" si="9"/>
        <v>0</v>
      </c>
      <c r="H69" s="31">
        <f t="shared" si="9"/>
        <v>0</v>
      </c>
      <c r="I69" s="31">
        <f t="shared" si="9"/>
        <v>0</v>
      </c>
      <c r="J69" s="31">
        <f>SUM(D69:I69)</f>
        <v>26072.77</v>
      </c>
      <c r="K69" s="8"/>
      <c r="L69" s="8"/>
    </row>
    <row r="70" spans="1:12" ht="16.5" thickTop="1">
      <c r="A70" s="57"/>
      <c r="B70" s="57"/>
      <c r="C70" s="57"/>
      <c r="D70" s="20"/>
      <c r="E70" s="20"/>
      <c r="F70" s="20"/>
      <c r="G70" s="20"/>
      <c r="H70" s="20"/>
      <c r="I70" s="20"/>
      <c r="J70" s="20"/>
      <c r="K70" s="8"/>
      <c r="L70" s="8"/>
    </row>
    <row r="71" spans="1:12">
      <c r="A71" s="57"/>
      <c r="B71" s="57"/>
      <c r="C71" s="57"/>
      <c r="D71" s="20"/>
      <c r="E71" s="20"/>
      <c r="F71" s="20"/>
      <c r="G71" s="20"/>
      <c r="H71" s="20"/>
      <c r="I71" s="20"/>
      <c r="J71" s="20"/>
      <c r="K71" s="8"/>
      <c r="L71" s="8"/>
    </row>
    <row r="72" spans="1:12">
      <c r="A72" s="57">
        <v>31</v>
      </c>
      <c r="B72" s="57" t="s">
        <v>24</v>
      </c>
      <c r="C72" s="57" t="s">
        <v>12</v>
      </c>
      <c r="D72" s="20">
        <v>13415.11</v>
      </c>
      <c r="E72" s="20">
        <v>506.54</v>
      </c>
      <c r="F72" s="20">
        <v>166.89</v>
      </c>
      <c r="G72" s="20">
        <v>0</v>
      </c>
      <c r="H72" s="20">
        <v>0</v>
      </c>
      <c r="I72" s="20">
        <v>0</v>
      </c>
      <c r="J72" s="20">
        <f>SUM(D72:I72)</f>
        <v>14088.54</v>
      </c>
      <c r="K72" s="8"/>
      <c r="L72" s="8"/>
    </row>
    <row r="73" spans="1:12" ht="16.5" thickBot="1">
      <c r="A73" s="57"/>
      <c r="B73" s="57"/>
      <c r="C73" s="57" t="s">
        <v>13</v>
      </c>
      <c r="D73" s="29">
        <v>1543.92</v>
      </c>
      <c r="E73" s="29">
        <v>61.35</v>
      </c>
      <c r="F73" s="29">
        <v>20</v>
      </c>
      <c r="G73" s="29">
        <v>0</v>
      </c>
      <c r="H73" s="29">
        <v>0</v>
      </c>
      <c r="I73" s="29">
        <v>0</v>
      </c>
      <c r="J73" s="29">
        <f>SUM(D73:I73)</f>
        <v>1625.27</v>
      </c>
      <c r="K73" s="8"/>
      <c r="L73" s="8"/>
    </row>
    <row r="74" spans="1:12">
      <c r="A74" s="57"/>
      <c r="B74" s="57"/>
      <c r="C74" s="57"/>
      <c r="D74" s="20"/>
      <c r="E74" s="20"/>
      <c r="F74" s="20"/>
      <c r="G74" s="20"/>
      <c r="H74" s="20"/>
      <c r="I74" s="20"/>
      <c r="J74" s="20"/>
      <c r="K74" s="8"/>
      <c r="L74" s="8"/>
    </row>
    <row r="75" spans="1:12" ht="16.5" thickBot="1">
      <c r="A75" s="57"/>
      <c r="B75" s="57"/>
      <c r="C75" s="57" t="s">
        <v>10</v>
      </c>
      <c r="D75" s="31">
        <f t="shared" ref="D75:I75" si="10">SUM(D72:D73)</f>
        <v>14959.03</v>
      </c>
      <c r="E75" s="31">
        <f t="shared" si="10"/>
        <v>567.89</v>
      </c>
      <c r="F75" s="31">
        <f t="shared" si="10"/>
        <v>186.89</v>
      </c>
      <c r="G75" s="31">
        <f t="shared" si="10"/>
        <v>0</v>
      </c>
      <c r="H75" s="31">
        <f t="shared" si="10"/>
        <v>0</v>
      </c>
      <c r="I75" s="31">
        <f t="shared" si="10"/>
        <v>0</v>
      </c>
      <c r="J75" s="31">
        <f>SUM(D75:I75)</f>
        <v>15713.81</v>
      </c>
      <c r="K75" s="8"/>
      <c r="L75" s="8"/>
    </row>
    <row r="76" spans="1:12" ht="16.5" thickTop="1">
      <c r="A76" s="57"/>
      <c r="B76" s="57"/>
      <c r="C76" s="57"/>
      <c r="D76" s="20"/>
      <c r="E76" s="20"/>
      <c r="F76" s="20"/>
      <c r="G76" s="20"/>
      <c r="H76" s="20"/>
      <c r="I76" s="20"/>
      <c r="J76" s="20"/>
      <c r="K76" s="8"/>
      <c r="L76" s="8"/>
    </row>
    <row r="77" spans="1:12">
      <c r="A77" s="57"/>
      <c r="B77" s="57"/>
      <c r="C77" s="57"/>
      <c r="D77" s="20"/>
      <c r="E77" s="20"/>
      <c r="F77" s="20"/>
      <c r="G77" s="20"/>
      <c r="H77" s="20"/>
      <c r="I77" s="20"/>
      <c r="J77" s="20"/>
      <c r="K77" s="8"/>
      <c r="L77" s="8"/>
    </row>
    <row r="78" spans="1:12">
      <c r="A78" s="57">
        <v>32</v>
      </c>
      <c r="B78" s="57" t="s">
        <v>25</v>
      </c>
      <c r="C78" s="57" t="s">
        <v>12</v>
      </c>
      <c r="D78" s="20">
        <v>31657.18</v>
      </c>
      <c r="E78" s="20">
        <v>271.56</v>
      </c>
      <c r="F78" s="20">
        <v>0</v>
      </c>
      <c r="G78" s="20">
        <v>0</v>
      </c>
      <c r="H78" s="20">
        <v>0</v>
      </c>
      <c r="I78" s="20">
        <v>0</v>
      </c>
      <c r="J78" s="20">
        <f>SUM(D78:I78)</f>
        <v>31928.74</v>
      </c>
      <c r="K78" s="8"/>
      <c r="L78" s="8"/>
    </row>
    <row r="79" spans="1:12" ht="16.5" thickBot="1">
      <c r="A79" s="57"/>
      <c r="B79" s="57"/>
      <c r="C79" s="57" t="s">
        <v>13</v>
      </c>
      <c r="D79" s="29">
        <v>597.96</v>
      </c>
      <c r="E79" s="29">
        <v>4.9800000000000004</v>
      </c>
      <c r="F79" s="29">
        <v>0</v>
      </c>
      <c r="G79" s="29">
        <v>0</v>
      </c>
      <c r="H79" s="29">
        <v>0</v>
      </c>
      <c r="I79" s="29">
        <v>0</v>
      </c>
      <c r="J79" s="29">
        <f>SUM(D79:I79)</f>
        <v>602.94000000000005</v>
      </c>
      <c r="K79" s="8"/>
      <c r="L79" s="8"/>
    </row>
    <row r="80" spans="1:12" hidden="1">
      <c r="A80" s="57"/>
      <c r="B80" s="57"/>
      <c r="C80" s="57" t="s">
        <v>73</v>
      </c>
      <c r="D80" s="20"/>
      <c r="E80" s="20"/>
      <c r="F80" s="20"/>
      <c r="G80" s="20"/>
      <c r="H80" s="20"/>
      <c r="I80" s="20"/>
      <c r="J80" s="20">
        <f>SUM(D80:I80)</f>
        <v>0</v>
      </c>
      <c r="K80" s="8"/>
      <c r="L80" s="8"/>
    </row>
    <row r="81" spans="1:12" ht="16.5" hidden="1" thickBot="1">
      <c r="A81" s="57"/>
      <c r="B81" s="57"/>
      <c r="C81" s="57" t="s">
        <v>78</v>
      </c>
      <c r="D81" s="29"/>
      <c r="E81" s="29"/>
      <c r="F81" s="29"/>
      <c r="G81" s="29"/>
      <c r="H81" s="29"/>
      <c r="I81" s="29"/>
      <c r="J81" s="29">
        <f>SUM(D81:I81)</f>
        <v>0</v>
      </c>
      <c r="K81" s="8"/>
      <c r="L81" s="8"/>
    </row>
    <row r="82" spans="1:12">
      <c r="A82" s="57"/>
      <c r="B82" s="57"/>
      <c r="C82" s="57"/>
      <c r="D82" s="20"/>
      <c r="E82" s="20"/>
      <c r="F82" s="20"/>
      <c r="G82" s="20"/>
      <c r="H82" s="20"/>
      <c r="I82" s="20"/>
      <c r="J82" s="20"/>
      <c r="K82" s="8"/>
      <c r="L82" s="8"/>
    </row>
    <row r="83" spans="1:12" ht="16.5" thickBot="1">
      <c r="A83" s="57"/>
      <c r="B83" s="57"/>
      <c r="C83" s="57" t="s">
        <v>10</v>
      </c>
      <c r="D83" s="31">
        <f t="shared" ref="D83:I83" si="11">SUM(D78:D81)</f>
        <v>32255.14</v>
      </c>
      <c r="E83" s="31">
        <f t="shared" si="11"/>
        <v>276.54000000000002</v>
      </c>
      <c r="F83" s="31">
        <f t="shared" si="11"/>
        <v>0</v>
      </c>
      <c r="G83" s="31">
        <f t="shared" si="11"/>
        <v>0</v>
      </c>
      <c r="H83" s="31">
        <f t="shared" si="11"/>
        <v>0</v>
      </c>
      <c r="I83" s="31">
        <f t="shared" si="11"/>
        <v>0</v>
      </c>
      <c r="J83" s="31">
        <f>SUM(D83:I83)</f>
        <v>32531.68</v>
      </c>
      <c r="K83" s="8"/>
      <c r="L83" s="8"/>
    </row>
    <row r="84" spans="1:12" ht="16.5" thickTop="1">
      <c r="A84" s="57"/>
      <c r="B84" s="57"/>
      <c r="C84" s="57"/>
      <c r="D84" s="20"/>
      <c r="E84" s="20"/>
      <c r="F84" s="20"/>
      <c r="G84" s="20"/>
      <c r="H84" s="20"/>
      <c r="I84" s="20"/>
      <c r="J84" s="20"/>
      <c r="K84" s="8"/>
      <c r="L84" s="8"/>
    </row>
    <row r="85" spans="1:12">
      <c r="A85" s="57"/>
      <c r="B85" s="57"/>
      <c r="C85" s="57"/>
      <c r="D85" s="20"/>
      <c r="E85" s="20"/>
      <c r="F85" s="20"/>
      <c r="G85" s="20"/>
      <c r="H85" s="20"/>
      <c r="I85" s="20"/>
      <c r="J85" s="20"/>
      <c r="K85" s="8"/>
      <c r="L85" s="8"/>
    </row>
    <row r="86" spans="1:12">
      <c r="A86" s="57">
        <v>33</v>
      </c>
      <c r="B86" s="57" t="s">
        <v>26</v>
      </c>
      <c r="C86" s="57" t="s">
        <v>12</v>
      </c>
      <c r="D86" s="20">
        <v>23871.69</v>
      </c>
      <c r="E86" s="20">
        <v>472.69</v>
      </c>
      <c r="F86" s="20">
        <v>364.44</v>
      </c>
      <c r="G86" s="20">
        <v>0</v>
      </c>
      <c r="H86" s="20">
        <v>0</v>
      </c>
      <c r="I86" s="20">
        <v>0</v>
      </c>
      <c r="J86" s="20">
        <f>SUM(D86:I86)</f>
        <v>24708.819999999996</v>
      </c>
      <c r="K86" s="8"/>
      <c r="L86" s="8"/>
    </row>
    <row r="87" spans="1:12" ht="16.5" thickBot="1">
      <c r="A87" s="57"/>
      <c r="B87" s="57"/>
      <c r="C87" s="57" t="s">
        <v>13</v>
      </c>
      <c r="D87" s="29">
        <v>1710.97</v>
      </c>
      <c r="E87" s="29">
        <v>31.22</v>
      </c>
      <c r="F87" s="29">
        <v>25.5</v>
      </c>
      <c r="G87" s="29">
        <v>0</v>
      </c>
      <c r="H87" s="29">
        <v>0</v>
      </c>
      <c r="I87" s="29">
        <v>0</v>
      </c>
      <c r="J87" s="29">
        <f>SUM(D87:I87)</f>
        <v>1767.69</v>
      </c>
      <c r="K87" s="8"/>
      <c r="L87" s="8"/>
    </row>
    <row r="88" spans="1:12">
      <c r="A88" s="57"/>
      <c r="B88" s="57"/>
      <c r="C88" s="57"/>
      <c r="D88" s="20"/>
      <c r="E88" s="20"/>
      <c r="F88" s="20"/>
      <c r="G88" s="20"/>
      <c r="H88" s="20"/>
      <c r="I88" s="20"/>
      <c r="J88" s="20"/>
      <c r="K88" s="8"/>
      <c r="L88" s="8"/>
    </row>
    <row r="89" spans="1:12" ht="16.5" thickBot="1">
      <c r="A89" s="57"/>
      <c r="B89" s="57"/>
      <c r="C89" s="57" t="s">
        <v>10</v>
      </c>
      <c r="D89" s="31">
        <f t="shared" ref="D89:I89" si="12">SUM(D86:D87)</f>
        <v>25582.66</v>
      </c>
      <c r="E89" s="31">
        <f t="shared" si="12"/>
        <v>503.90999999999997</v>
      </c>
      <c r="F89" s="31">
        <f t="shared" si="12"/>
        <v>389.94</v>
      </c>
      <c r="G89" s="31">
        <f t="shared" si="12"/>
        <v>0</v>
      </c>
      <c r="H89" s="31">
        <f t="shared" si="12"/>
        <v>0</v>
      </c>
      <c r="I89" s="31">
        <f t="shared" si="12"/>
        <v>0</v>
      </c>
      <c r="J89" s="31">
        <f>SUM(D89:I89)</f>
        <v>26476.51</v>
      </c>
      <c r="K89" s="8"/>
      <c r="L89" s="8"/>
    </row>
    <row r="90" spans="1:12" ht="16.5" thickTop="1">
      <c r="A90" s="57"/>
      <c r="B90" s="57"/>
      <c r="C90" s="57"/>
      <c r="D90" s="20"/>
      <c r="E90" s="20"/>
      <c r="F90" s="20"/>
      <c r="G90" s="20"/>
      <c r="H90" s="20"/>
      <c r="I90" s="20"/>
      <c r="J90" s="20"/>
      <c r="K90" s="8"/>
      <c r="L90" s="8"/>
    </row>
    <row r="91" spans="1:12">
      <c r="A91" s="57"/>
      <c r="B91" s="57"/>
      <c r="C91" s="57"/>
      <c r="D91" s="20"/>
      <c r="E91" s="20"/>
      <c r="F91" s="20"/>
      <c r="G91" s="20"/>
      <c r="H91" s="20"/>
      <c r="I91" s="20"/>
      <c r="J91" s="20"/>
      <c r="K91" s="8"/>
      <c r="L91" s="8"/>
    </row>
    <row r="92" spans="1:12">
      <c r="A92" s="57">
        <v>34</v>
      </c>
      <c r="B92" s="57" t="s">
        <v>27</v>
      </c>
      <c r="C92" s="57" t="s">
        <v>12</v>
      </c>
      <c r="D92" s="20">
        <v>26444.75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f>SUM(D92:I92)</f>
        <v>26444.75</v>
      </c>
      <c r="K92" s="8"/>
      <c r="L92" s="8"/>
    </row>
    <row r="93" spans="1:12" hidden="1">
      <c r="A93" s="57"/>
      <c r="B93" s="57"/>
      <c r="C93" s="57" t="s">
        <v>35</v>
      </c>
      <c r="D93" s="20"/>
      <c r="E93" s="20"/>
      <c r="F93" s="20"/>
      <c r="G93" s="20">
        <v>0</v>
      </c>
      <c r="H93" s="20">
        <v>0</v>
      </c>
      <c r="I93" s="20">
        <v>0</v>
      </c>
      <c r="J93" s="20">
        <f>SUM(D93:I93)</f>
        <v>0</v>
      </c>
      <c r="K93" s="8"/>
      <c r="L93" s="8"/>
    </row>
    <row r="94" spans="1:12" hidden="1">
      <c r="A94" s="57"/>
      <c r="B94" s="57"/>
      <c r="C94" s="57" t="s">
        <v>13</v>
      </c>
      <c r="D94" s="20"/>
      <c r="E94" s="20"/>
      <c r="F94" s="20"/>
      <c r="G94" s="20">
        <v>0</v>
      </c>
      <c r="H94" s="20">
        <v>0</v>
      </c>
      <c r="I94" s="20">
        <v>0</v>
      </c>
      <c r="J94" s="20">
        <f>SUM(D94:I94)</f>
        <v>0</v>
      </c>
      <c r="K94" s="8"/>
      <c r="L94" s="8"/>
    </row>
    <row r="95" spans="1:12" ht="16.5" thickBot="1">
      <c r="A95" s="57"/>
      <c r="B95" s="57"/>
      <c r="C95" s="57" t="s">
        <v>13</v>
      </c>
      <c r="D95" s="29">
        <v>553.88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f>SUM(D95:I95)</f>
        <v>553.88</v>
      </c>
      <c r="K95" s="8"/>
      <c r="L95" s="8"/>
    </row>
    <row r="96" spans="1:12">
      <c r="A96" s="57"/>
      <c r="B96" s="57"/>
      <c r="C96" s="57"/>
      <c r="D96" s="20"/>
      <c r="E96" s="20"/>
      <c r="F96" s="20"/>
      <c r="G96" s="20"/>
      <c r="H96" s="20"/>
      <c r="I96" s="20"/>
      <c r="J96" s="20"/>
      <c r="K96" s="8"/>
      <c r="L96" s="8"/>
    </row>
    <row r="97" spans="1:12" ht="16.5" thickBot="1">
      <c r="A97" s="57"/>
      <c r="B97" s="57"/>
      <c r="C97" s="57" t="s">
        <v>10</v>
      </c>
      <c r="D97" s="31">
        <f t="shared" ref="D97:I97" si="13">SUM(D92:D96)</f>
        <v>26998.63</v>
      </c>
      <c r="E97" s="31">
        <f t="shared" si="13"/>
        <v>0</v>
      </c>
      <c r="F97" s="31">
        <f t="shared" si="13"/>
        <v>0</v>
      </c>
      <c r="G97" s="31">
        <f t="shared" si="13"/>
        <v>0</v>
      </c>
      <c r="H97" s="31">
        <f t="shared" si="13"/>
        <v>0</v>
      </c>
      <c r="I97" s="31">
        <f t="shared" si="13"/>
        <v>0</v>
      </c>
      <c r="J97" s="31">
        <f>SUM(D97:I97)</f>
        <v>26998.63</v>
      </c>
      <c r="K97" s="8"/>
      <c r="L97" s="8"/>
    </row>
    <row r="98" spans="1:12" ht="16.5" thickTop="1">
      <c r="A98" s="57"/>
      <c r="B98" s="57"/>
      <c r="C98" s="57"/>
      <c r="D98" s="20"/>
      <c r="E98" s="20"/>
      <c r="F98" s="20"/>
      <c r="G98" s="20"/>
      <c r="H98" s="20"/>
      <c r="I98" s="20"/>
      <c r="J98" s="20"/>
      <c r="K98" s="8"/>
      <c r="L98" s="8"/>
    </row>
    <row r="99" spans="1:12">
      <c r="A99" s="57"/>
      <c r="B99" s="57"/>
      <c r="C99" s="57"/>
      <c r="D99" s="20"/>
      <c r="E99" s="20"/>
      <c r="F99" s="20"/>
      <c r="G99" s="20"/>
      <c r="H99" s="20"/>
      <c r="I99" s="20"/>
      <c r="J99" s="20"/>
      <c r="K99" s="8"/>
      <c r="L99" s="8"/>
    </row>
    <row r="100" spans="1:12">
      <c r="A100" s="57">
        <v>35</v>
      </c>
      <c r="B100" s="57" t="s">
        <v>28</v>
      </c>
      <c r="C100" s="57" t="s">
        <v>12</v>
      </c>
      <c r="D100" s="20">
        <v>15294.99</v>
      </c>
      <c r="E100" s="20">
        <v>60.09</v>
      </c>
      <c r="F100" s="20">
        <v>0</v>
      </c>
      <c r="G100" s="20">
        <v>0</v>
      </c>
      <c r="H100" s="20">
        <v>0</v>
      </c>
      <c r="I100" s="20">
        <v>0</v>
      </c>
      <c r="J100" s="20">
        <f>SUM(D100:I100)</f>
        <v>15355.08</v>
      </c>
      <c r="K100" s="8"/>
      <c r="L100" s="8"/>
    </row>
    <row r="101" spans="1:12" ht="16.5" thickBot="1">
      <c r="A101" s="57"/>
      <c r="B101" s="57"/>
      <c r="C101" s="57" t="s">
        <v>116</v>
      </c>
      <c r="D101" s="29">
        <v>8038.36</v>
      </c>
      <c r="E101" s="29">
        <v>32.479999999999997</v>
      </c>
      <c r="F101" s="29">
        <v>0</v>
      </c>
      <c r="G101" s="29"/>
      <c r="H101" s="29"/>
      <c r="I101" s="29"/>
      <c r="J101" s="29">
        <f>SUM(D101:I101)</f>
        <v>8070.8399999999992</v>
      </c>
      <c r="K101" s="8"/>
      <c r="L101" s="8"/>
    </row>
    <row r="102" spans="1:12">
      <c r="A102" s="57"/>
      <c r="B102" s="57"/>
      <c r="C102" s="57"/>
      <c r="D102" s="20"/>
      <c r="E102" s="20"/>
      <c r="F102" s="20"/>
      <c r="G102" s="20"/>
      <c r="H102" s="20"/>
      <c r="I102" s="20"/>
      <c r="J102" s="20"/>
      <c r="K102" s="8"/>
      <c r="L102" s="8"/>
    </row>
    <row r="103" spans="1:12" ht="16.5" thickBot="1">
      <c r="A103" s="57"/>
      <c r="B103" s="57"/>
      <c r="C103" s="57" t="s">
        <v>10</v>
      </c>
      <c r="D103" s="31">
        <f t="shared" ref="D103:I103" si="14">SUM(D100:D102)</f>
        <v>23333.35</v>
      </c>
      <c r="E103" s="31">
        <f t="shared" si="14"/>
        <v>92.57</v>
      </c>
      <c r="F103" s="31">
        <f t="shared" si="14"/>
        <v>0</v>
      </c>
      <c r="G103" s="31">
        <f t="shared" si="14"/>
        <v>0</v>
      </c>
      <c r="H103" s="31">
        <f t="shared" si="14"/>
        <v>0</v>
      </c>
      <c r="I103" s="31">
        <f t="shared" si="14"/>
        <v>0</v>
      </c>
      <c r="J103" s="31">
        <f>SUM(D103:I103)</f>
        <v>23425.919999999998</v>
      </c>
      <c r="K103" s="8"/>
      <c r="L103" s="8"/>
    </row>
    <row r="104" spans="1:12" ht="16.5" thickTop="1">
      <c r="A104" s="57"/>
      <c r="B104" s="57"/>
      <c r="C104" s="57"/>
      <c r="D104" s="20"/>
      <c r="E104" s="20"/>
      <c r="F104" s="20"/>
      <c r="G104" s="20"/>
      <c r="H104" s="20"/>
      <c r="I104" s="20"/>
      <c r="J104" s="20"/>
      <c r="K104" s="8"/>
      <c r="L104" s="8"/>
    </row>
    <row r="105" spans="1:12">
      <c r="A105" s="57"/>
      <c r="B105" s="57"/>
      <c r="C105" s="57"/>
      <c r="D105" s="20"/>
      <c r="E105" s="20"/>
      <c r="F105" s="20"/>
      <c r="G105" s="20"/>
      <c r="H105" s="20"/>
      <c r="I105" s="20"/>
      <c r="J105" s="20"/>
      <c r="K105" s="8"/>
      <c r="L105" s="8"/>
    </row>
    <row r="106" spans="1:12">
      <c r="A106" s="57">
        <v>36</v>
      </c>
      <c r="B106" s="57" t="s">
        <v>29</v>
      </c>
      <c r="C106" s="57" t="s">
        <v>12</v>
      </c>
      <c r="D106" s="20">
        <v>33494.57</v>
      </c>
      <c r="E106" s="20">
        <v>342.05</v>
      </c>
      <c r="F106" s="20">
        <v>80.28</v>
      </c>
      <c r="G106" s="20">
        <v>0</v>
      </c>
      <c r="H106" s="20">
        <v>0</v>
      </c>
      <c r="I106" s="20">
        <v>0</v>
      </c>
      <c r="J106" s="20">
        <f>SUM(D106:I106)</f>
        <v>33916.9</v>
      </c>
      <c r="K106" s="8"/>
      <c r="L106" s="8"/>
    </row>
    <row r="107" spans="1:12" hidden="1">
      <c r="A107" s="57"/>
      <c r="B107" s="57"/>
      <c r="C107" s="57" t="s">
        <v>13</v>
      </c>
      <c r="D107" s="20"/>
      <c r="E107" s="20"/>
      <c r="F107" s="20"/>
      <c r="G107" s="20">
        <v>0</v>
      </c>
      <c r="H107" s="20">
        <v>0</v>
      </c>
      <c r="I107" s="20">
        <v>0</v>
      </c>
      <c r="J107" s="20">
        <f>SUM(D107:I107)</f>
        <v>0</v>
      </c>
      <c r="K107" s="8"/>
      <c r="L107" s="8"/>
    </row>
    <row r="108" spans="1:12" ht="16.5" thickBot="1">
      <c r="A108" s="57"/>
      <c r="B108" s="57"/>
      <c r="C108" s="57" t="s">
        <v>13</v>
      </c>
      <c r="D108" s="29">
        <v>465.2</v>
      </c>
      <c r="E108" s="29">
        <v>4.37</v>
      </c>
      <c r="F108" s="29">
        <v>1.05</v>
      </c>
      <c r="G108" s="29">
        <v>0</v>
      </c>
      <c r="H108" s="29">
        <v>0</v>
      </c>
      <c r="I108" s="29">
        <v>0</v>
      </c>
      <c r="J108" s="29">
        <f>SUM(D108:I108)</f>
        <v>470.62</v>
      </c>
      <c r="K108" s="8"/>
      <c r="L108" s="8"/>
    </row>
    <row r="109" spans="1:12">
      <c r="A109" s="57"/>
      <c r="B109" s="57"/>
      <c r="C109" s="57"/>
      <c r="D109" s="20"/>
      <c r="E109" s="20"/>
      <c r="F109" s="20"/>
      <c r="G109" s="20"/>
      <c r="H109" s="20"/>
      <c r="I109" s="20"/>
      <c r="J109" s="20"/>
      <c r="K109" s="8"/>
      <c r="L109" s="8"/>
    </row>
    <row r="110" spans="1:12" ht="16.5" thickBot="1">
      <c r="A110" s="57"/>
      <c r="B110" s="57"/>
      <c r="C110" s="57" t="s">
        <v>10</v>
      </c>
      <c r="D110" s="31">
        <f t="shared" ref="D110:I110" si="15">SUM(D106:D108)</f>
        <v>33959.769999999997</v>
      </c>
      <c r="E110" s="31">
        <f t="shared" si="15"/>
        <v>346.42</v>
      </c>
      <c r="F110" s="31">
        <f t="shared" si="15"/>
        <v>81.33</v>
      </c>
      <c r="G110" s="31">
        <f t="shared" si="15"/>
        <v>0</v>
      </c>
      <c r="H110" s="31">
        <f t="shared" si="15"/>
        <v>0</v>
      </c>
      <c r="I110" s="31">
        <f t="shared" si="15"/>
        <v>0</v>
      </c>
      <c r="J110" s="31">
        <f>SUM(D110:I110)</f>
        <v>34387.519999999997</v>
      </c>
      <c r="K110" s="8"/>
      <c r="L110" s="8"/>
    </row>
    <row r="111" spans="1:12" ht="16.5" thickTop="1">
      <c r="A111" s="57"/>
      <c r="B111" s="57"/>
      <c r="C111" s="57"/>
      <c r="D111" s="20"/>
      <c r="E111" s="20"/>
      <c r="F111" s="20"/>
      <c r="G111" s="20"/>
      <c r="H111" s="20"/>
      <c r="I111" s="20"/>
      <c r="J111" s="20"/>
      <c r="K111" s="8"/>
      <c r="L111" s="8"/>
    </row>
    <row r="112" spans="1:12">
      <c r="A112" s="57"/>
      <c r="B112" s="57"/>
      <c r="C112" s="57"/>
      <c r="D112" s="20"/>
      <c r="E112" s="20"/>
      <c r="F112" s="20"/>
      <c r="G112" s="20"/>
      <c r="H112" s="20"/>
      <c r="I112" s="20"/>
      <c r="J112" s="20"/>
      <c r="K112" s="8"/>
      <c r="L112" s="8"/>
    </row>
    <row r="113" spans="1:12" ht="16.5" thickBot="1">
      <c r="A113" s="57">
        <v>37</v>
      </c>
      <c r="B113" s="57" t="s">
        <v>30</v>
      </c>
      <c r="C113" s="57" t="s">
        <v>12</v>
      </c>
      <c r="D113" s="29">
        <v>42119.99</v>
      </c>
      <c r="E113" s="29">
        <v>384.85</v>
      </c>
      <c r="F113" s="29">
        <v>80.489999999999995</v>
      </c>
      <c r="G113" s="29">
        <v>0</v>
      </c>
      <c r="H113" s="29">
        <v>0</v>
      </c>
      <c r="I113" s="29">
        <v>0</v>
      </c>
      <c r="J113" s="29">
        <f>SUM(D113:I113)</f>
        <v>42585.329999999994</v>
      </c>
      <c r="K113" s="8"/>
      <c r="L113" s="8"/>
    </row>
    <row r="114" spans="1:12">
      <c r="A114" s="57"/>
      <c r="B114" s="57"/>
      <c r="C114" s="57"/>
      <c r="D114" s="20"/>
      <c r="E114" s="20"/>
      <c r="F114" s="20"/>
      <c r="G114" s="20"/>
      <c r="H114" s="20"/>
      <c r="I114" s="20"/>
      <c r="J114" s="20"/>
      <c r="K114" s="8"/>
      <c r="L114" s="8"/>
    </row>
    <row r="115" spans="1:12" ht="16.5" thickBot="1">
      <c r="A115" s="57"/>
      <c r="B115" s="57"/>
      <c r="C115" s="57" t="s">
        <v>10</v>
      </c>
      <c r="D115" s="31">
        <f t="shared" ref="D115:I115" si="16">SUM(D113:D114)</f>
        <v>42119.99</v>
      </c>
      <c r="E115" s="31">
        <f t="shared" si="16"/>
        <v>384.85</v>
      </c>
      <c r="F115" s="31">
        <f t="shared" si="16"/>
        <v>80.489999999999995</v>
      </c>
      <c r="G115" s="31">
        <f t="shared" si="16"/>
        <v>0</v>
      </c>
      <c r="H115" s="31">
        <f t="shared" si="16"/>
        <v>0</v>
      </c>
      <c r="I115" s="31">
        <f t="shared" si="16"/>
        <v>0</v>
      </c>
      <c r="J115" s="31">
        <f>SUM(D115:I115)</f>
        <v>42585.329999999994</v>
      </c>
      <c r="K115" s="8"/>
      <c r="L115" s="8"/>
    </row>
    <row r="116" spans="1:12" ht="16.5" thickTop="1">
      <c r="A116" s="57"/>
      <c r="B116" s="57"/>
      <c r="C116" s="57"/>
      <c r="D116" s="20"/>
      <c r="E116" s="20"/>
      <c r="F116" s="20"/>
      <c r="G116" s="20"/>
      <c r="H116" s="20"/>
      <c r="I116" s="20"/>
      <c r="J116" s="20"/>
      <c r="K116" s="8"/>
      <c r="L116" s="8"/>
    </row>
    <row r="117" spans="1:12">
      <c r="A117" s="57"/>
      <c r="B117" s="57"/>
      <c r="C117" s="57"/>
      <c r="D117" s="20"/>
      <c r="E117" s="20"/>
      <c r="F117" s="20"/>
      <c r="G117" s="20"/>
      <c r="H117" s="20"/>
      <c r="I117" s="20"/>
      <c r="J117" s="20"/>
      <c r="K117" s="8"/>
      <c r="L117" s="8"/>
    </row>
    <row r="118" spans="1:12">
      <c r="A118" s="57">
        <v>38</v>
      </c>
      <c r="B118" s="57" t="s">
        <v>31</v>
      </c>
      <c r="C118" s="57" t="s">
        <v>12</v>
      </c>
      <c r="D118" s="20">
        <v>19826.12</v>
      </c>
      <c r="E118" s="20">
        <v>161.63999999999999</v>
      </c>
      <c r="F118" s="20">
        <v>0</v>
      </c>
      <c r="G118" s="20">
        <v>0</v>
      </c>
      <c r="H118" s="20">
        <v>0</v>
      </c>
      <c r="I118" s="20">
        <v>0</v>
      </c>
      <c r="J118" s="20">
        <f>SUM(D118:I118)</f>
        <v>19987.759999999998</v>
      </c>
      <c r="K118" s="8"/>
      <c r="L118" s="8"/>
    </row>
    <row r="119" spans="1:12" hidden="1">
      <c r="A119" s="57"/>
      <c r="B119" s="57"/>
      <c r="C119" s="57" t="s">
        <v>35</v>
      </c>
      <c r="D119" s="20"/>
      <c r="E119" s="20"/>
      <c r="F119" s="20">
        <v>0</v>
      </c>
      <c r="G119" s="20">
        <v>0</v>
      </c>
      <c r="H119" s="20">
        <v>0</v>
      </c>
      <c r="I119" s="20">
        <v>0</v>
      </c>
      <c r="J119" s="20">
        <f>SUM(D119:I119)</f>
        <v>0</v>
      </c>
      <c r="K119" s="8"/>
      <c r="L119" s="8"/>
    </row>
    <row r="120" spans="1:12" ht="16.5" thickBot="1">
      <c r="A120" s="57"/>
      <c r="B120" s="57"/>
      <c r="C120" s="57" t="s">
        <v>13</v>
      </c>
      <c r="D120" s="29">
        <v>539.12</v>
      </c>
      <c r="E120" s="29">
        <v>4.4000000000000004</v>
      </c>
      <c r="F120" s="29">
        <v>0</v>
      </c>
      <c r="G120" s="29">
        <v>0</v>
      </c>
      <c r="H120" s="29">
        <v>0</v>
      </c>
      <c r="I120" s="29">
        <v>0</v>
      </c>
      <c r="J120" s="29">
        <f>SUM(D120:I120)</f>
        <v>543.52</v>
      </c>
      <c r="K120" s="8"/>
      <c r="L120" s="8"/>
    </row>
    <row r="121" spans="1:12" ht="16.5" hidden="1" thickBot="1">
      <c r="A121" s="57"/>
      <c r="B121" s="57"/>
      <c r="C121" s="57" t="s">
        <v>78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f>SUM(D121:I121)</f>
        <v>0</v>
      </c>
      <c r="K121" s="8"/>
      <c r="L121" s="8"/>
    </row>
    <row r="122" spans="1:12">
      <c r="A122" s="57"/>
      <c r="B122" s="57"/>
      <c r="C122" s="57"/>
      <c r="D122" s="20"/>
      <c r="E122" s="20"/>
      <c r="F122" s="20"/>
      <c r="G122" s="20"/>
      <c r="H122" s="20"/>
      <c r="I122" s="20"/>
      <c r="J122" s="20"/>
      <c r="K122" s="8"/>
      <c r="L122" s="8"/>
    </row>
    <row r="123" spans="1:12" ht="16.5" thickBot="1">
      <c r="A123" s="57"/>
      <c r="B123" s="57"/>
      <c r="C123" s="57" t="s">
        <v>10</v>
      </c>
      <c r="D123" s="31">
        <f t="shared" ref="D123:I123" si="17">SUM(D118:D121)</f>
        <v>20365.239999999998</v>
      </c>
      <c r="E123" s="31">
        <f t="shared" si="17"/>
        <v>166.04</v>
      </c>
      <c r="F123" s="31">
        <f t="shared" si="17"/>
        <v>0</v>
      </c>
      <c r="G123" s="31">
        <f t="shared" si="17"/>
        <v>0</v>
      </c>
      <c r="H123" s="31">
        <f t="shared" si="17"/>
        <v>0</v>
      </c>
      <c r="I123" s="31">
        <f t="shared" si="17"/>
        <v>0</v>
      </c>
      <c r="J123" s="31">
        <f>SUM(D123:I123)</f>
        <v>20531.28</v>
      </c>
      <c r="K123" s="8"/>
      <c r="L123" s="8"/>
    </row>
    <row r="124" spans="1:12" ht="16.5" thickTop="1">
      <c r="A124" s="57"/>
      <c r="B124" s="57"/>
      <c r="C124" s="57"/>
      <c r="D124" s="20"/>
      <c r="E124" s="20"/>
      <c r="F124" s="20"/>
      <c r="G124" s="20"/>
      <c r="H124" s="20"/>
      <c r="I124" s="20"/>
      <c r="J124" s="20"/>
      <c r="K124" s="8"/>
      <c r="L124" s="8"/>
    </row>
    <row r="125" spans="1:12">
      <c r="A125" s="57"/>
      <c r="B125" s="57"/>
      <c r="C125" s="57"/>
      <c r="D125" s="20"/>
      <c r="E125" s="20"/>
      <c r="F125" s="20"/>
      <c r="G125" s="20"/>
      <c r="H125" s="20"/>
      <c r="I125" s="20"/>
      <c r="J125" s="20"/>
      <c r="K125" s="8"/>
      <c r="L125" s="8"/>
    </row>
    <row r="126" spans="1:12" ht="16.5" thickBot="1">
      <c r="A126" s="57">
        <v>39</v>
      </c>
      <c r="B126" s="57" t="s">
        <v>32</v>
      </c>
      <c r="C126" s="57" t="s">
        <v>12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f>SUM(D126:I126)</f>
        <v>0</v>
      </c>
      <c r="K126" s="8"/>
      <c r="L126" s="8"/>
    </row>
    <row r="127" spans="1:12">
      <c r="A127" s="57"/>
      <c r="B127" s="57"/>
      <c r="C127" s="57"/>
      <c r="D127" s="20"/>
      <c r="E127" s="20"/>
      <c r="F127" s="20"/>
      <c r="G127" s="20"/>
      <c r="H127" s="20"/>
      <c r="I127" s="20"/>
      <c r="J127" s="20"/>
      <c r="K127" s="8"/>
      <c r="L127" s="8"/>
    </row>
    <row r="128" spans="1:12" ht="16.5" thickBot="1">
      <c r="A128" s="57"/>
      <c r="B128" s="57"/>
      <c r="C128" s="57" t="s">
        <v>10</v>
      </c>
      <c r="D128" s="31">
        <f>D126</f>
        <v>0</v>
      </c>
      <c r="E128" s="31">
        <f t="shared" ref="E128:J128" si="18">E126</f>
        <v>0</v>
      </c>
      <c r="F128" s="31">
        <f t="shared" si="18"/>
        <v>0</v>
      </c>
      <c r="G128" s="31">
        <f t="shared" si="18"/>
        <v>0</v>
      </c>
      <c r="H128" s="31">
        <f t="shared" si="18"/>
        <v>0</v>
      </c>
      <c r="I128" s="31">
        <f t="shared" si="18"/>
        <v>0</v>
      </c>
      <c r="J128" s="31">
        <f t="shared" si="18"/>
        <v>0</v>
      </c>
      <c r="K128" s="8"/>
      <c r="L128" s="8"/>
    </row>
    <row r="129" spans="1:12" ht="16.5" thickTop="1">
      <c r="A129" s="57"/>
      <c r="B129" s="57"/>
      <c r="C129" s="57"/>
      <c r="D129" s="20"/>
      <c r="E129" s="20"/>
      <c r="F129" s="20"/>
      <c r="G129" s="20"/>
      <c r="H129" s="20"/>
      <c r="I129" s="20"/>
      <c r="J129" s="20"/>
      <c r="K129" s="8"/>
      <c r="L129" s="8"/>
    </row>
    <row r="130" spans="1:12" ht="16.5" thickBot="1">
      <c r="A130" s="57">
        <v>40</v>
      </c>
      <c r="B130" s="57" t="s">
        <v>33</v>
      </c>
      <c r="C130" s="57" t="s">
        <v>12</v>
      </c>
      <c r="D130" s="29">
        <v>25673.15</v>
      </c>
      <c r="E130" s="29">
        <v>183.87</v>
      </c>
      <c r="F130" s="29">
        <v>0</v>
      </c>
      <c r="G130" s="29">
        <v>0</v>
      </c>
      <c r="H130" s="29">
        <v>0</v>
      </c>
      <c r="I130" s="29">
        <v>0</v>
      </c>
      <c r="J130" s="29">
        <f>SUM(D130:I130)</f>
        <v>25857.02</v>
      </c>
      <c r="K130" s="8"/>
      <c r="L130" s="8"/>
    </row>
    <row r="131" spans="1:12">
      <c r="A131" s="57"/>
      <c r="B131" s="57"/>
      <c r="C131" s="57"/>
      <c r="D131" s="20"/>
      <c r="E131" s="20"/>
      <c r="F131" s="20"/>
      <c r="G131" s="20"/>
      <c r="H131" s="20"/>
      <c r="I131" s="20"/>
      <c r="J131" s="20"/>
      <c r="K131" s="8"/>
      <c r="L131" s="8"/>
    </row>
    <row r="132" spans="1:12" ht="16.5" thickBot="1">
      <c r="A132" s="57"/>
      <c r="B132" s="57"/>
      <c r="C132" s="57" t="s">
        <v>10</v>
      </c>
      <c r="D132" s="31">
        <f t="shared" ref="D132:I132" si="19">SUM(D130:D131)</f>
        <v>25673.15</v>
      </c>
      <c r="E132" s="31">
        <f t="shared" si="19"/>
        <v>183.87</v>
      </c>
      <c r="F132" s="31">
        <f t="shared" si="19"/>
        <v>0</v>
      </c>
      <c r="G132" s="31">
        <f t="shared" si="19"/>
        <v>0</v>
      </c>
      <c r="H132" s="31">
        <f t="shared" si="19"/>
        <v>0</v>
      </c>
      <c r="I132" s="31">
        <f t="shared" si="19"/>
        <v>0</v>
      </c>
      <c r="J132" s="31">
        <f>SUM(D132:I132)</f>
        <v>25857.02</v>
      </c>
      <c r="K132" s="8"/>
      <c r="L132" s="8"/>
    </row>
    <row r="133" spans="1:12" ht="16.5" thickTop="1">
      <c r="A133" s="57"/>
      <c r="B133" s="57"/>
      <c r="C133" s="57"/>
      <c r="D133" s="20"/>
      <c r="E133" s="20"/>
      <c r="F133" s="20"/>
      <c r="G133" s="20"/>
      <c r="H133" s="20"/>
      <c r="I133" s="20"/>
      <c r="J133" s="20"/>
      <c r="K133" s="8"/>
      <c r="L133" s="8"/>
    </row>
    <row r="134" spans="1:12">
      <c r="A134" s="57"/>
      <c r="B134" s="57"/>
      <c r="C134" s="57"/>
      <c r="D134" s="20"/>
      <c r="E134" s="20"/>
      <c r="F134" s="20"/>
      <c r="G134" s="20"/>
      <c r="H134" s="20"/>
      <c r="I134" s="20"/>
      <c r="J134" s="20"/>
      <c r="K134" s="8"/>
      <c r="L134" s="8"/>
    </row>
    <row r="135" spans="1:12" ht="16.5" thickBot="1">
      <c r="A135" s="57">
        <v>41</v>
      </c>
      <c r="B135" s="57" t="s">
        <v>34</v>
      </c>
      <c r="C135" s="57" t="s">
        <v>12</v>
      </c>
      <c r="D135" s="29">
        <v>19057.12</v>
      </c>
      <c r="E135" s="29">
        <v>286.56</v>
      </c>
      <c r="F135" s="29">
        <v>0</v>
      </c>
      <c r="G135" s="29">
        <v>0</v>
      </c>
      <c r="H135" s="29">
        <v>0</v>
      </c>
      <c r="I135" s="29">
        <v>0</v>
      </c>
      <c r="J135" s="29">
        <f>SUM(D135:I135)</f>
        <v>19343.68</v>
      </c>
      <c r="K135" s="8"/>
      <c r="L135" s="8"/>
    </row>
    <row r="136" spans="1:12" hidden="1">
      <c r="A136" s="57"/>
      <c r="B136" s="57"/>
      <c r="C136" s="57" t="s">
        <v>35</v>
      </c>
      <c r="D136" s="20">
        <v>0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f>SUM(D136:I136)</f>
        <v>0</v>
      </c>
      <c r="K136" s="8"/>
      <c r="L136" s="8"/>
    </row>
    <row r="137" spans="1:12" ht="16.5" hidden="1" thickBot="1">
      <c r="A137" s="57"/>
      <c r="B137" s="57"/>
      <c r="C137" s="57" t="s">
        <v>109</v>
      </c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f>SUM(D137:I137)</f>
        <v>0</v>
      </c>
      <c r="K137" s="8"/>
      <c r="L137" s="8"/>
    </row>
    <row r="138" spans="1:12">
      <c r="A138" s="57"/>
      <c r="B138" s="57"/>
      <c r="C138" s="57"/>
      <c r="D138" s="20"/>
      <c r="E138" s="20"/>
      <c r="F138" s="20"/>
      <c r="G138" s="20"/>
      <c r="H138" s="20"/>
      <c r="I138" s="20"/>
      <c r="J138" s="20"/>
      <c r="K138" s="8"/>
      <c r="L138" s="8"/>
    </row>
    <row r="139" spans="1:12" ht="16.5" thickBot="1">
      <c r="A139" s="57"/>
      <c r="B139" s="57"/>
      <c r="C139" s="57" t="s">
        <v>10</v>
      </c>
      <c r="D139" s="31">
        <f t="shared" ref="D139:I139" si="20">SUM(D135:D137)</f>
        <v>19057.12</v>
      </c>
      <c r="E139" s="31">
        <f t="shared" si="20"/>
        <v>286.56</v>
      </c>
      <c r="F139" s="31">
        <f t="shared" si="20"/>
        <v>0</v>
      </c>
      <c r="G139" s="31">
        <f t="shared" si="20"/>
        <v>0</v>
      </c>
      <c r="H139" s="31">
        <f t="shared" si="20"/>
        <v>0</v>
      </c>
      <c r="I139" s="31">
        <f t="shared" si="20"/>
        <v>0</v>
      </c>
      <c r="J139" s="31">
        <f>SUM(D139:I139)</f>
        <v>19343.68</v>
      </c>
      <c r="K139" s="8"/>
      <c r="L139" s="8"/>
    </row>
    <row r="140" spans="1:12" ht="16.5" thickTop="1">
      <c r="A140" s="57"/>
      <c r="B140" s="57"/>
      <c r="C140" s="57"/>
      <c r="D140" s="20"/>
      <c r="E140" s="20"/>
      <c r="F140" s="20"/>
      <c r="G140" s="20"/>
      <c r="H140" s="20"/>
      <c r="I140" s="20"/>
      <c r="J140" s="20"/>
      <c r="K140" s="8"/>
      <c r="L140" s="8"/>
    </row>
    <row r="141" spans="1:12">
      <c r="A141" s="57"/>
      <c r="B141" s="57"/>
      <c r="C141" s="57"/>
      <c r="D141" s="20"/>
      <c r="E141" s="20"/>
      <c r="F141" s="20"/>
      <c r="G141" s="20"/>
      <c r="H141" s="20"/>
      <c r="I141" s="20"/>
      <c r="J141" s="20"/>
      <c r="K141" s="8"/>
      <c r="L141" s="8"/>
    </row>
    <row r="142" spans="1:12">
      <c r="A142" s="57">
        <v>42</v>
      </c>
      <c r="B142" s="57" t="s">
        <v>36</v>
      </c>
      <c r="C142" s="57" t="s">
        <v>12</v>
      </c>
      <c r="D142" s="39">
        <v>21836.27</v>
      </c>
      <c r="E142" s="20">
        <v>88.34</v>
      </c>
      <c r="F142" s="39">
        <v>0</v>
      </c>
      <c r="G142" s="20">
        <v>0</v>
      </c>
      <c r="H142" s="20">
        <v>0</v>
      </c>
      <c r="I142" s="20">
        <v>0</v>
      </c>
      <c r="J142" s="20">
        <f>SUM(D142:I142)</f>
        <v>21924.61</v>
      </c>
      <c r="K142" s="8"/>
      <c r="L142" s="8"/>
    </row>
    <row r="143" spans="1:12" ht="16.5" thickBot="1">
      <c r="A143" s="57"/>
      <c r="B143" s="57"/>
      <c r="C143" s="57" t="s">
        <v>13</v>
      </c>
      <c r="D143" s="29">
        <v>1310.18</v>
      </c>
      <c r="E143" s="29">
        <v>5.48</v>
      </c>
      <c r="F143" s="29">
        <v>0</v>
      </c>
      <c r="G143" s="29">
        <v>0</v>
      </c>
      <c r="H143" s="29">
        <v>0</v>
      </c>
      <c r="I143" s="29">
        <v>0</v>
      </c>
      <c r="J143" s="29">
        <f>SUM(D143:I143)</f>
        <v>1315.66</v>
      </c>
      <c r="K143" s="8"/>
      <c r="L143" s="8"/>
    </row>
    <row r="144" spans="1:12">
      <c r="A144" s="57"/>
      <c r="B144" s="57"/>
      <c r="C144" s="57"/>
      <c r="D144" s="20"/>
      <c r="E144" s="20"/>
      <c r="F144" s="20"/>
      <c r="G144" s="20"/>
      <c r="H144" s="20"/>
      <c r="I144" s="20"/>
      <c r="J144" s="20"/>
      <c r="K144" s="8"/>
      <c r="L144" s="8"/>
    </row>
    <row r="145" spans="1:12" ht="16.5" thickBot="1">
      <c r="A145" s="57"/>
      <c r="B145" s="57"/>
      <c r="C145" s="57" t="s">
        <v>10</v>
      </c>
      <c r="D145" s="31">
        <f t="shared" ref="D145:I145" si="21">SUM(D142:D143)</f>
        <v>23146.45</v>
      </c>
      <c r="E145" s="31">
        <f t="shared" si="21"/>
        <v>93.820000000000007</v>
      </c>
      <c r="F145" s="31">
        <f t="shared" si="21"/>
        <v>0</v>
      </c>
      <c r="G145" s="31">
        <f t="shared" si="21"/>
        <v>0</v>
      </c>
      <c r="H145" s="31">
        <f t="shared" si="21"/>
        <v>0</v>
      </c>
      <c r="I145" s="31">
        <f t="shared" si="21"/>
        <v>0</v>
      </c>
      <c r="J145" s="31">
        <f>SUM(D145:I145)</f>
        <v>23240.27</v>
      </c>
      <c r="K145" s="8"/>
      <c r="L145" s="8"/>
    </row>
    <row r="146" spans="1:12" ht="16.5" thickTop="1">
      <c r="A146" s="57"/>
      <c r="B146" s="57"/>
      <c r="C146" s="57"/>
      <c r="D146" s="20"/>
      <c r="E146" s="20"/>
      <c r="F146" s="20"/>
      <c r="G146" s="20"/>
      <c r="H146" s="20"/>
      <c r="I146" s="20"/>
      <c r="J146" s="20"/>
      <c r="K146" s="8"/>
      <c r="L146" s="8"/>
    </row>
    <row r="147" spans="1:12">
      <c r="A147" s="57"/>
      <c r="B147" s="57"/>
      <c r="C147" s="57"/>
      <c r="D147" s="20"/>
      <c r="E147" s="20"/>
      <c r="F147" s="20"/>
      <c r="G147" s="20"/>
      <c r="H147" s="20"/>
      <c r="I147" s="20"/>
      <c r="J147" s="20"/>
      <c r="K147" s="8"/>
      <c r="L147" s="8"/>
    </row>
    <row r="148" spans="1:12">
      <c r="A148" s="57">
        <v>43</v>
      </c>
      <c r="B148" s="57" t="s">
        <v>37</v>
      </c>
      <c r="C148" s="57" t="s">
        <v>12</v>
      </c>
      <c r="D148" s="39">
        <v>27307.16</v>
      </c>
      <c r="E148" s="20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f>SUM(D148:I148)</f>
        <v>27307.16</v>
      </c>
      <c r="K148" s="8"/>
      <c r="L148" s="8"/>
    </row>
    <row r="149" spans="1:12" hidden="1">
      <c r="A149" s="57"/>
      <c r="B149" s="57"/>
      <c r="C149" s="57" t="s">
        <v>35</v>
      </c>
      <c r="D149" s="20"/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f>SUM(D149:I149)</f>
        <v>0</v>
      </c>
      <c r="K149" s="8"/>
      <c r="L149" s="8"/>
    </row>
    <row r="150" spans="1:12" ht="16.5" thickBot="1">
      <c r="A150" s="57"/>
      <c r="B150" s="57"/>
      <c r="C150" s="57" t="s">
        <v>13</v>
      </c>
      <c r="D150" s="29">
        <v>758.54</v>
      </c>
      <c r="E150" s="29">
        <v>0</v>
      </c>
      <c r="F150" s="50">
        <v>0</v>
      </c>
      <c r="G150" s="29">
        <v>0</v>
      </c>
      <c r="H150" s="29">
        <v>0</v>
      </c>
      <c r="I150" s="29">
        <v>0</v>
      </c>
      <c r="J150" s="29">
        <f>SUM(D150:I150)</f>
        <v>758.54</v>
      </c>
      <c r="K150" s="8"/>
      <c r="L150" s="8"/>
    </row>
    <row r="151" spans="1:12" ht="16.5" hidden="1" thickBot="1">
      <c r="A151" s="57"/>
      <c r="B151" s="57"/>
      <c r="C151" s="57" t="s">
        <v>78</v>
      </c>
      <c r="D151" s="29">
        <v>0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f>SUM(D151:I151)</f>
        <v>0</v>
      </c>
      <c r="K151" s="8"/>
      <c r="L151" s="8"/>
    </row>
    <row r="152" spans="1:12">
      <c r="A152" s="57"/>
      <c r="B152" s="57"/>
      <c r="C152" s="57"/>
      <c r="D152" s="20"/>
      <c r="E152" s="20"/>
      <c r="F152" s="20"/>
      <c r="G152" s="20"/>
      <c r="H152" s="20"/>
      <c r="I152" s="20"/>
      <c r="J152" s="20"/>
      <c r="K152" s="8"/>
      <c r="L152" s="8"/>
    </row>
    <row r="153" spans="1:12" ht="16.5" thickBot="1">
      <c r="A153" s="57"/>
      <c r="B153" s="57"/>
      <c r="C153" s="57" t="s">
        <v>10</v>
      </c>
      <c r="D153" s="31">
        <f t="shared" ref="D153:I153" si="22">SUM(D148:D151)</f>
        <v>28065.7</v>
      </c>
      <c r="E153" s="31">
        <f>SUM(E148:E152)</f>
        <v>0</v>
      </c>
      <c r="F153" s="31">
        <f t="shared" si="22"/>
        <v>0</v>
      </c>
      <c r="G153" s="31">
        <f t="shared" si="22"/>
        <v>0</v>
      </c>
      <c r="H153" s="31">
        <f t="shared" si="22"/>
        <v>0</v>
      </c>
      <c r="I153" s="31">
        <f t="shared" si="22"/>
        <v>0</v>
      </c>
      <c r="J153" s="31">
        <f>SUM(D153:I153)</f>
        <v>28065.7</v>
      </c>
      <c r="K153" s="8"/>
      <c r="L153" s="8"/>
    </row>
    <row r="154" spans="1:12" ht="16.5" thickTop="1">
      <c r="A154" s="57"/>
      <c r="B154" s="57"/>
      <c r="C154" s="57"/>
      <c r="D154" s="20"/>
      <c r="E154" s="20"/>
      <c r="F154" s="20"/>
      <c r="G154" s="20"/>
      <c r="H154" s="20"/>
      <c r="I154" s="20"/>
      <c r="J154" s="20"/>
      <c r="K154" s="8"/>
      <c r="L154" s="8"/>
    </row>
    <row r="155" spans="1:12">
      <c r="A155" s="57"/>
      <c r="B155" s="57"/>
      <c r="C155" s="57"/>
      <c r="D155" s="20"/>
      <c r="E155" s="20"/>
      <c r="F155" s="20"/>
      <c r="G155" s="20"/>
      <c r="H155" s="20"/>
      <c r="I155" s="20"/>
      <c r="J155" s="20"/>
      <c r="K155" s="8"/>
      <c r="L155" s="8"/>
    </row>
    <row r="156" spans="1:12" ht="16.5" thickBot="1">
      <c r="A156" s="57">
        <v>44</v>
      </c>
      <c r="B156" s="57" t="s">
        <v>38</v>
      </c>
      <c r="C156" s="57" t="s">
        <v>12</v>
      </c>
      <c r="D156" s="29">
        <v>24686.06</v>
      </c>
      <c r="E156" s="29">
        <v>784.03</v>
      </c>
      <c r="F156" s="29">
        <v>48.43</v>
      </c>
      <c r="G156" s="29">
        <v>0</v>
      </c>
      <c r="H156" s="29">
        <v>0</v>
      </c>
      <c r="I156" s="29">
        <v>0</v>
      </c>
      <c r="J156" s="29">
        <f>SUM(D156:I156)</f>
        <v>25518.52</v>
      </c>
      <c r="K156" s="8"/>
      <c r="L156" s="8"/>
    </row>
    <row r="157" spans="1:12">
      <c r="A157" s="57"/>
      <c r="B157" s="57"/>
      <c r="C157" s="57"/>
      <c r="D157" s="20"/>
      <c r="E157" s="20"/>
      <c r="F157" s="20"/>
      <c r="G157" s="20"/>
      <c r="H157" s="20"/>
      <c r="I157" s="20"/>
      <c r="J157" s="20"/>
      <c r="K157" s="8"/>
      <c r="L157" s="8"/>
    </row>
    <row r="158" spans="1:12" ht="16.5" thickBot="1">
      <c r="A158" s="57"/>
      <c r="B158" s="57"/>
      <c r="C158" s="57" t="s">
        <v>10</v>
      </c>
      <c r="D158" s="31">
        <f t="shared" ref="D158:I158" si="23">SUM(D156:D157)</f>
        <v>24686.06</v>
      </c>
      <c r="E158" s="31">
        <f t="shared" si="23"/>
        <v>784.03</v>
      </c>
      <c r="F158" s="31">
        <f t="shared" si="23"/>
        <v>48.43</v>
      </c>
      <c r="G158" s="31">
        <f t="shared" si="23"/>
        <v>0</v>
      </c>
      <c r="H158" s="31">
        <f t="shared" si="23"/>
        <v>0</v>
      </c>
      <c r="I158" s="31">
        <f t="shared" si="23"/>
        <v>0</v>
      </c>
      <c r="J158" s="31">
        <f>SUM(D158:I158)</f>
        <v>25518.52</v>
      </c>
      <c r="K158" s="8"/>
      <c r="L158" s="8"/>
    </row>
    <row r="159" spans="1:12" ht="16.5" thickTop="1">
      <c r="A159" s="57"/>
      <c r="B159" s="57"/>
      <c r="C159" s="57"/>
      <c r="D159" s="20"/>
      <c r="E159" s="20"/>
      <c r="F159" s="20"/>
      <c r="G159" s="20" t="s">
        <v>70</v>
      </c>
      <c r="H159" s="20" t="s">
        <v>70</v>
      </c>
      <c r="I159" s="20" t="s">
        <v>70</v>
      </c>
      <c r="J159" s="20"/>
      <c r="K159" s="8"/>
      <c r="L159" s="8"/>
    </row>
    <row r="160" spans="1:12">
      <c r="A160" s="57"/>
      <c r="B160" s="57"/>
      <c r="C160" s="57"/>
      <c r="D160" s="20"/>
      <c r="E160" s="20"/>
      <c r="F160" s="20"/>
      <c r="G160" s="20"/>
      <c r="H160" s="20"/>
      <c r="I160" s="20"/>
      <c r="J160" s="20"/>
      <c r="K160" s="8"/>
      <c r="L160" s="8"/>
    </row>
    <row r="161" spans="1:12">
      <c r="A161" s="57">
        <v>45</v>
      </c>
      <c r="B161" s="57" t="s">
        <v>39</v>
      </c>
      <c r="C161" s="57" t="s">
        <v>12</v>
      </c>
      <c r="D161" s="20">
        <v>7665.44</v>
      </c>
      <c r="E161" s="20">
        <v>411.67</v>
      </c>
      <c r="F161" s="20">
        <v>572.58000000000004</v>
      </c>
      <c r="G161" s="20">
        <v>0</v>
      </c>
      <c r="H161" s="20">
        <v>0</v>
      </c>
      <c r="I161" s="20">
        <v>0</v>
      </c>
      <c r="J161" s="20">
        <f>SUM(D161:I161)</f>
        <v>8649.69</v>
      </c>
      <c r="K161" s="8"/>
      <c r="L161" s="8"/>
    </row>
    <row r="162" spans="1:12" ht="16.5" thickBot="1">
      <c r="A162" s="57"/>
      <c r="B162" s="57"/>
      <c r="C162" s="57" t="s">
        <v>116</v>
      </c>
      <c r="D162" s="29">
        <v>7197.81</v>
      </c>
      <c r="E162" s="29">
        <v>385.2</v>
      </c>
      <c r="F162" s="29">
        <v>318.83</v>
      </c>
      <c r="G162" s="29">
        <v>0</v>
      </c>
      <c r="H162" s="29">
        <v>0</v>
      </c>
      <c r="I162" s="29">
        <v>0</v>
      </c>
      <c r="J162" s="29">
        <f>SUM(D162:I162)</f>
        <v>7901.84</v>
      </c>
      <c r="K162" s="8"/>
      <c r="L162" s="8"/>
    </row>
    <row r="163" spans="1:12">
      <c r="A163" s="57"/>
      <c r="B163" s="57"/>
      <c r="C163" s="57"/>
      <c r="D163" s="20"/>
      <c r="E163" s="20"/>
      <c r="F163" s="20"/>
      <c r="G163" s="20"/>
      <c r="H163" s="20"/>
      <c r="I163" s="20"/>
      <c r="J163" s="20"/>
      <c r="K163" s="8"/>
      <c r="L163" s="8"/>
    </row>
    <row r="164" spans="1:12" ht="16.5" thickBot="1">
      <c r="A164" s="57"/>
      <c r="B164" s="57"/>
      <c r="C164" s="57" t="s">
        <v>10</v>
      </c>
      <c r="D164" s="31">
        <f t="shared" ref="D164:I164" si="24">SUM(D161:D163)</f>
        <v>14863.25</v>
      </c>
      <c r="E164" s="31">
        <f t="shared" si="24"/>
        <v>796.87</v>
      </c>
      <c r="F164" s="31">
        <f t="shared" si="24"/>
        <v>891.41000000000008</v>
      </c>
      <c r="G164" s="31">
        <f t="shared" si="24"/>
        <v>0</v>
      </c>
      <c r="H164" s="31">
        <f t="shared" si="24"/>
        <v>0</v>
      </c>
      <c r="I164" s="31">
        <f t="shared" si="24"/>
        <v>0</v>
      </c>
      <c r="J164" s="31">
        <f>SUM(D164:I164)</f>
        <v>16551.530000000002</v>
      </c>
      <c r="K164" s="8"/>
      <c r="L164" s="8"/>
    </row>
    <row r="165" spans="1:12" ht="16.5" thickTop="1">
      <c r="A165" s="57"/>
      <c r="B165" s="57"/>
      <c r="C165" s="57"/>
      <c r="D165" s="20"/>
      <c r="E165" s="20"/>
      <c r="F165" s="20"/>
      <c r="G165" s="20"/>
      <c r="H165" s="20"/>
      <c r="I165" s="20"/>
      <c r="J165" s="20"/>
      <c r="K165" s="8"/>
      <c r="L165" s="8"/>
    </row>
    <row r="166" spans="1:12">
      <c r="A166" s="57"/>
      <c r="B166" s="57"/>
      <c r="C166" s="57"/>
      <c r="D166" s="20"/>
      <c r="E166" s="20"/>
      <c r="F166" s="20"/>
      <c r="G166" s="20"/>
      <c r="H166" s="20"/>
      <c r="I166" s="20"/>
      <c r="J166" s="20"/>
      <c r="K166" s="8"/>
      <c r="L166" s="8"/>
    </row>
    <row r="167" spans="1:12" ht="16.5" thickBot="1">
      <c r="A167" s="57">
        <v>46</v>
      </c>
      <c r="B167" s="57" t="s">
        <v>40</v>
      </c>
      <c r="C167" s="57" t="s">
        <v>12</v>
      </c>
      <c r="D167" s="29">
        <v>14274.19</v>
      </c>
      <c r="E167" s="29">
        <v>96.32</v>
      </c>
      <c r="F167" s="29">
        <v>2.25</v>
      </c>
      <c r="G167" s="29">
        <v>0</v>
      </c>
      <c r="H167" s="29">
        <v>0</v>
      </c>
      <c r="I167" s="29">
        <v>0</v>
      </c>
      <c r="J167" s="29">
        <f>SUM(D167:I167)</f>
        <v>14372.76</v>
      </c>
      <c r="K167" s="8"/>
      <c r="L167" s="8"/>
    </row>
    <row r="168" spans="1:12">
      <c r="A168" s="57"/>
      <c r="B168" s="57"/>
      <c r="C168" s="57"/>
      <c r="D168" s="20"/>
      <c r="E168" s="20"/>
      <c r="F168" s="20"/>
      <c r="G168" s="20"/>
      <c r="H168" s="20"/>
      <c r="I168" s="20"/>
      <c r="J168" s="20"/>
      <c r="K168" s="8"/>
      <c r="L168" s="8"/>
    </row>
    <row r="169" spans="1:12" ht="16.5" thickBot="1">
      <c r="A169" s="57"/>
      <c r="B169" s="57"/>
      <c r="C169" s="57" t="s">
        <v>10</v>
      </c>
      <c r="D169" s="31">
        <f t="shared" ref="D169:I169" si="25">SUM(D167:D168)</f>
        <v>14274.19</v>
      </c>
      <c r="E169" s="31">
        <f t="shared" si="25"/>
        <v>96.32</v>
      </c>
      <c r="F169" s="31">
        <f t="shared" si="25"/>
        <v>2.25</v>
      </c>
      <c r="G169" s="31">
        <f t="shared" si="25"/>
        <v>0</v>
      </c>
      <c r="H169" s="31">
        <f t="shared" si="25"/>
        <v>0</v>
      </c>
      <c r="I169" s="31">
        <f t="shared" si="25"/>
        <v>0</v>
      </c>
      <c r="J169" s="31">
        <f>SUM(D169:I169)</f>
        <v>14372.76</v>
      </c>
      <c r="K169" s="8"/>
      <c r="L169" s="8"/>
    </row>
    <row r="170" spans="1:12" ht="16.5" thickTop="1">
      <c r="A170" s="57"/>
      <c r="B170" s="57"/>
      <c r="C170" s="57"/>
      <c r="D170" s="20"/>
      <c r="E170" s="20"/>
      <c r="F170" s="20"/>
      <c r="G170" s="20"/>
      <c r="H170" s="20"/>
      <c r="I170" s="20"/>
      <c r="J170" s="20"/>
      <c r="K170" s="8"/>
      <c r="L170" s="8"/>
    </row>
    <row r="171" spans="1:12">
      <c r="A171" s="57"/>
      <c r="B171" s="57"/>
      <c r="C171" s="57"/>
      <c r="D171" s="20"/>
      <c r="E171" s="20"/>
      <c r="F171" s="20"/>
      <c r="G171" s="20"/>
      <c r="H171" s="20"/>
      <c r="I171" s="20"/>
      <c r="J171" s="20"/>
      <c r="K171" s="8"/>
      <c r="L171" s="8"/>
    </row>
    <row r="172" spans="1:12" ht="16.5" thickBot="1">
      <c r="A172" s="57">
        <v>47</v>
      </c>
      <c r="B172" s="57" t="s">
        <v>41</v>
      </c>
      <c r="C172" s="57" t="s">
        <v>12</v>
      </c>
      <c r="D172" s="29">
        <v>19875.849999999999</v>
      </c>
      <c r="E172" s="29">
        <v>676.85</v>
      </c>
      <c r="F172" s="29">
        <v>1.8</v>
      </c>
      <c r="G172" s="29">
        <v>0</v>
      </c>
      <c r="H172" s="29">
        <v>0</v>
      </c>
      <c r="I172" s="29">
        <v>0</v>
      </c>
      <c r="J172" s="29">
        <f>SUM(D172:I172)</f>
        <v>20554.499999999996</v>
      </c>
      <c r="K172" s="8"/>
      <c r="L172" s="8"/>
    </row>
    <row r="173" spans="1:12">
      <c r="A173" s="57"/>
      <c r="B173" s="57"/>
      <c r="C173" s="57"/>
      <c r="D173" s="20"/>
      <c r="E173" s="20"/>
      <c r="F173" s="20"/>
      <c r="G173" s="20"/>
      <c r="H173" s="20"/>
      <c r="I173" s="20"/>
      <c r="J173" s="20"/>
      <c r="K173" s="8"/>
      <c r="L173" s="8"/>
    </row>
    <row r="174" spans="1:12" ht="16.5" thickBot="1">
      <c r="A174" s="57"/>
      <c r="B174" s="57"/>
      <c r="C174" s="57" t="s">
        <v>10</v>
      </c>
      <c r="D174" s="31">
        <f t="shared" ref="D174:I174" si="26">SUM(D172:D173)</f>
        <v>19875.849999999999</v>
      </c>
      <c r="E174" s="31">
        <f t="shared" si="26"/>
        <v>676.85</v>
      </c>
      <c r="F174" s="31">
        <f t="shared" si="26"/>
        <v>1.8</v>
      </c>
      <c r="G174" s="31">
        <f t="shared" si="26"/>
        <v>0</v>
      </c>
      <c r="H174" s="31">
        <f t="shared" si="26"/>
        <v>0</v>
      </c>
      <c r="I174" s="31">
        <f t="shared" si="26"/>
        <v>0</v>
      </c>
      <c r="J174" s="31">
        <f>SUM(D174:I174)</f>
        <v>20554.499999999996</v>
      </c>
      <c r="K174" s="8"/>
      <c r="L174" s="8"/>
    </row>
    <row r="175" spans="1:12" ht="16.5" thickTop="1">
      <c r="A175" s="57"/>
      <c r="B175" s="57"/>
      <c r="C175" s="57"/>
      <c r="D175" s="20"/>
      <c r="E175" s="20"/>
      <c r="F175" s="20"/>
      <c r="G175" s="20"/>
      <c r="H175" s="20"/>
      <c r="I175" s="20"/>
      <c r="J175" s="20"/>
      <c r="K175" s="8"/>
      <c r="L175" s="8"/>
    </row>
    <row r="176" spans="1:12">
      <c r="A176" s="57"/>
      <c r="B176" s="57"/>
      <c r="C176" s="57"/>
      <c r="D176" s="20"/>
      <c r="E176" s="20"/>
      <c r="F176" s="20"/>
      <c r="G176" s="20"/>
      <c r="H176" s="20"/>
      <c r="I176" s="20"/>
      <c r="J176" s="20"/>
      <c r="K176" s="8"/>
      <c r="L176" s="8"/>
    </row>
    <row r="177" spans="1:12" ht="16.5" thickBot="1">
      <c r="A177" s="57">
        <v>48</v>
      </c>
      <c r="B177" s="57" t="s">
        <v>42</v>
      </c>
      <c r="C177" s="57" t="s">
        <v>12</v>
      </c>
      <c r="D177" s="29">
        <v>16203.77</v>
      </c>
      <c r="E177" s="29">
        <v>441.76</v>
      </c>
      <c r="F177" s="29">
        <v>0.15</v>
      </c>
      <c r="G177" s="29">
        <v>0</v>
      </c>
      <c r="H177" s="29">
        <v>0</v>
      </c>
      <c r="I177" s="29">
        <v>0</v>
      </c>
      <c r="J177" s="29">
        <f>SUM(D177:I177)</f>
        <v>16645.68</v>
      </c>
      <c r="K177" s="8"/>
      <c r="L177" s="8"/>
    </row>
    <row r="178" spans="1:12">
      <c r="A178" s="57"/>
      <c r="B178" s="57"/>
      <c r="C178" s="57"/>
      <c r="D178" s="20"/>
      <c r="E178" s="20"/>
      <c r="F178" s="20"/>
      <c r="G178" s="20"/>
      <c r="H178" s="20"/>
      <c r="I178" s="20"/>
      <c r="J178" s="20"/>
      <c r="K178" s="8"/>
      <c r="L178" s="8"/>
    </row>
    <row r="179" spans="1:12" ht="16.5" thickBot="1">
      <c r="A179" s="57"/>
      <c r="B179" s="57"/>
      <c r="C179" s="57" t="s">
        <v>10</v>
      </c>
      <c r="D179" s="31">
        <f t="shared" ref="D179:I179" si="27">SUM(D177:D178)</f>
        <v>16203.77</v>
      </c>
      <c r="E179" s="31">
        <f t="shared" si="27"/>
        <v>441.76</v>
      </c>
      <c r="F179" s="31">
        <f t="shared" si="27"/>
        <v>0.15</v>
      </c>
      <c r="G179" s="31">
        <f t="shared" si="27"/>
        <v>0</v>
      </c>
      <c r="H179" s="31">
        <f t="shared" si="27"/>
        <v>0</v>
      </c>
      <c r="I179" s="31">
        <f t="shared" si="27"/>
        <v>0</v>
      </c>
      <c r="J179" s="31">
        <f>SUM(D179:I179)</f>
        <v>16645.68</v>
      </c>
      <c r="K179" s="8"/>
      <c r="L179" s="8"/>
    </row>
    <row r="180" spans="1:12" ht="16.5" thickTop="1">
      <c r="A180" s="57"/>
      <c r="B180" s="57"/>
      <c r="C180" s="57"/>
      <c r="D180" s="20"/>
      <c r="E180" s="20"/>
      <c r="F180" s="20"/>
      <c r="G180" s="20"/>
      <c r="H180" s="20"/>
      <c r="I180" s="20"/>
      <c r="J180" s="20"/>
      <c r="K180" s="8"/>
      <c r="L180" s="8"/>
    </row>
    <row r="181" spans="1:12">
      <c r="A181" s="57"/>
      <c r="B181" s="57"/>
      <c r="C181" s="57"/>
      <c r="D181" s="20"/>
      <c r="E181" s="20"/>
      <c r="F181" s="20"/>
      <c r="G181" s="20"/>
      <c r="H181" s="20"/>
      <c r="I181" s="20"/>
      <c r="J181" s="20"/>
      <c r="K181" s="8"/>
      <c r="L181" s="8"/>
    </row>
    <row r="182" spans="1:12" ht="16.5" thickBot="1">
      <c r="A182" s="57">
        <v>49</v>
      </c>
      <c r="B182" s="57" t="s">
        <v>43</v>
      </c>
      <c r="C182" s="57" t="s">
        <v>12</v>
      </c>
      <c r="D182" s="29">
        <v>25884.59</v>
      </c>
      <c r="E182" s="29">
        <v>184.86</v>
      </c>
      <c r="F182" s="29">
        <v>185.14</v>
      </c>
      <c r="G182" s="29">
        <v>0</v>
      </c>
      <c r="H182" s="29">
        <v>0</v>
      </c>
      <c r="I182" s="29">
        <v>0</v>
      </c>
      <c r="J182" s="29">
        <f>SUM(D182:I182)</f>
        <v>26254.59</v>
      </c>
      <c r="K182" s="8"/>
      <c r="L182" s="8"/>
    </row>
    <row r="183" spans="1:12">
      <c r="A183" s="57"/>
      <c r="B183" s="57"/>
      <c r="C183" s="57"/>
      <c r="D183" s="20"/>
      <c r="E183" s="20"/>
      <c r="F183" s="20"/>
      <c r="G183" s="20"/>
      <c r="H183" s="20"/>
      <c r="I183" s="20"/>
      <c r="J183" s="20"/>
      <c r="K183" s="8"/>
      <c r="L183" s="8"/>
    </row>
    <row r="184" spans="1:12" ht="16.5" thickBot="1">
      <c r="A184" s="57"/>
      <c r="B184" s="57"/>
      <c r="C184" s="57" t="s">
        <v>10</v>
      </c>
      <c r="D184" s="31">
        <f t="shared" ref="D184:I184" si="28">SUM(D182:D183)</f>
        <v>25884.59</v>
      </c>
      <c r="E184" s="31">
        <f t="shared" si="28"/>
        <v>184.86</v>
      </c>
      <c r="F184" s="31">
        <f t="shared" si="28"/>
        <v>185.14</v>
      </c>
      <c r="G184" s="31">
        <f t="shared" si="28"/>
        <v>0</v>
      </c>
      <c r="H184" s="31">
        <f t="shared" si="28"/>
        <v>0</v>
      </c>
      <c r="I184" s="31">
        <f t="shared" si="28"/>
        <v>0</v>
      </c>
      <c r="J184" s="31">
        <f>SUM(D184:I184)</f>
        <v>26254.59</v>
      </c>
      <c r="K184" s="8"/>
      <c r="L184" s="8"/>
    </row>
    <row r="185" spans="1:12" ht="16.5" thickTop="1">
      <c r="A185" s="57"/>
      <c r="B185" s="57"/>
      <c r="C185" s="57"/>
      <c r="D185" s="20"/>
      <c r="E185" s="20"/>
      <c r="F185" s="20"/>
      <c r="G185" s="20"/>
      <c r="H185" s="20"/>
      <c r="I185" s="20"/>
      <c r="J185" s="20"/>
      <c r="K185" s="8"/>
      <c r="L185" s="8"/>
    </row>
    <row r="186" spans="1:12">
      <c r="A186" s="57"/>
      <c r="B186" s="57"/>
      <c r="C186" s="57"/>
      <c r="D186" s="20"/>
      <c r="E186" s="20"/>
      <c r="F186" s="20"/>
      <c r="G186" s="20"/>
      <c r="H186" s="20"/>
      <c r="I186" s="20"/>
      <c r="J186" s="20"/>
      <c r="K186" s="8"/>
      <c r="L186" s="8"/>
    </row>
    <row r="187" spans="1:12">
      <c r="A187" s="57">
        <v>50</v>
      </c>
      <c r="B187" s="57" t="s">
        <v>44</v>
      </c>
      <c r="C187" s="57" t="s">
        <v>12</v>
      </c>
      <c r="D187" s="20">
        <v>8106.07</v>
      </c>
      <c r="E187" s="20">
        <v>10.93</v>
      </c>
      <c r="F187" s="20">
        <v>0</v>
      </c>
      <c r="G187" s="20">
        <v>0</v>
      </c>
      <c r="H187" s="20">
        <v>0</v>
      </c>
      <c r="I187" s="20">
        <v>0</v>
      </c>
      <c r="J187" s="20">
        <f>SUM(D187:I187)</f>
        <v>8117</v>
      </c>
      <c r="K187" s="8"/>
      <c r="L187" s="8"/>
    </row>
    <row r="188" spans="1:12" ht="16.5" thickBot="1">
      <c r="A188" s="57"/>
      <c r="B188" s="57"/>
      <c r="C188" s="57" t="s">
        <v>13</v>
      </c>
      <c r="D188" s="29">
        <v>696</v>
      </c>
      <c r="E188" s="29">
        <v>2.14</v>
      </c>
      <c r="F188" s="29">
        <v>0</v>
      </c>
      <c r="G188" s="29">
        <v>0</v>
      </c>
      <c r="H188" s="29">
        <v>0</v>
      </c>
      <c r="I188" s="29">
        <v>0</v>
      </c>
      <c r="J188" s="29">
        <f>SUM(D188:I188)</f>
        <v>698.14</v>
      </c>
      <c r="K188" s="8"/>
      <c r="L188" s="8"/>
    </row>
    <row r="189" spans="1:12">
      <c r="A189" s="57"/>
      <c r="B189" s="57"/>
      <c r="C189" s="57"/>
      <c r="D189" s="20"/>
      <c r="E189" s="20"/>
      <c r="F189" s="20"/>
      <c r="G189" s="20"/>
      <c r="H189" s="20"/>
      <c r="I189" s="20"/>
      <c r="J189" s="20"/>
      <c r="K189" s="8"/>
      <c r="L189" s="8"/>
    </row>
    <row r="190" spans="1:12" ht="16.5" thickBot="1">
      <c r="A190" s="57"/>
      <c r="B190" s="57"/>
      <c r="C190" s="57" t="s">
        <v>10</v>
      </c>
      <c r="D190" s="31">
        <f t="shared" ref="D190:I190" si="29">SUM(D187:D188)</f>
        <v>8802.07</v>
      </c>
      <c r="E190" s="31">
        <f t="shared" si="29"/>
        <v>13.07</v>
      </c>
      <c r="F190" s="31">
        <f t="shared" si="29"/>
        <v>0</v>
      </c>
      <c r="G190" s="31">
        <f t="shared" si="29"/>
        <v>0</v>
      </c>
      <c r="H190" s="31">
        <f t="shared" si="29"/>
        <v>0</v>
      </c>
      <c r="I190" s="31">
        <f t="shared" si="29"/>
        <v>0</v>
      </c>
      <c r="J190" s="31">
        <f>SUM(D190:I190)</f>
        <v>8815.14</v>
      </c>
      <c r="K190" s="8"/>
      <c r="L190" s="8"/>
    </row>
    <row r="191" spans="1:12" ht="16.5" thickTop="1">
      <c r="A191" s="57"/>
      <c r="B191" s="57"/>
      <c r="C191" s="57"/>
      <c r="D191" s="20"/>
      <c r="E191" s="20"/>
      <c r="F191" s="20"/>
      <c r="G191" s="20"/>
      <c r="H191" s="20"/>
      <c r="I191" s="20"/>
      <c r="J191" s="20"/>
      <c r="K191" s="8"/>
      <c r="L191" s="8"/>
    </row>
    <row r="192" spans="1:12">
      <c r="A192" s="57"/>
      <c r="B192" s="57"/>
      <c r="C192" s="57"/>
      <c r="D192" s="20"/>
      <c r="E192" s="20"/>
      <c r="F192" s="20"/>
      <c r="G192" s="20"/>
      <c r="H192" s="20"/>
      <c r="I192" s="20"/>
      <c r="J192" s="20"/>
      <c r="K192" s="8"/>
      <c r="L192" s="8"/>
    </row>
    <row r="193" spans="1:12" ht="16.5" thickBot="1">
      <c r="A193" s="57">
        <v>51</v>
      </c>
      <c r="B193" s="57" t="s">
        <v>45</v>
      </c>
      <c r="C193" s="57" t="s">
        <v>12</v>
      </c>
      <c r="D193" s="29">
        <v>15440.18</v>
      </c>
      <c r="E193" s="29">
        <v>1.69</v>
      </c>
      <c r="F193" s="29">
        <v>0</v>
      </c>
      <c r="G193" s="29">
        <v>0</v>
      </c>
      <c r="H193" s="29">
        <v>0</v>
      </c>
      <c r="I193" s="29">
        <v>0</v>
      </c>
      <c r="J193" s="29">
        <f>SUM(D193:I193)</f>
        <v>15441.87</v>
      </c>
      <c r="K193" s="8"/>
      <c r="L193" s="8"/>
    </row>
    <row r="194" spans="1:12" hidden="1">
      <c r="A194" s="57"/>
      <c r="B194" s="57"/>
      <c r="C194" s="57" t="s">
        <v>13</v>
      </c>
      <c r="D194" s="20"/>
      <c r="E194" s="20"/>
      <c r="F194" s="20"/>
      <c r="G194" s="20"/>
      <c r="H194" s="20"/>
      <c r="I194" s="20"/>
      <c r="J194" s="20">
        <f>SUM(D194:I194)</f>
        <v>0</v>
      </c>
      <c r="K194" s="8"/>
      <c r="L194" s="8"/>
    </row>
    <row r="195" spans="1:12" ht="16.5" hidden="1" thickBot="1">
      <c r="A195" s="57"/>
      <c r="B195" s="57"/>
      <c r="C195" s="57" t="s">
        <v>46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f>SUM(D195:I195)</f>
        <v>0</v>
      </c>
      <c r="K195" s="8"/>
      <c r="L195" s="8"/>
    </row>
    <row r="196" spans="1:12">
      <c r="A196" s="57"/>
      <c r="B196" s="57"/>
      <c r="C196" s="57"/>
      <c r="D196" s="20"/>
      <c r="E196" s="20"/>
      <c r="F196" s="20"/>
      <c r="G196" s="20"/>
      <c r="H196" s="20"/>
      <c r="I196" s="20"/>
      <c r="J196" s="20"/>
      <c r="K196" s="8"/>
      <c r="L196" s="8"/>
    </row>
    <row r="197" spans="1:12" ht="16.5" thickBot="1">
      <c r="A197" s="57"/>
      <c r="B197" s="57"/>
      <c r="C197" s="57" t="s">
        <v>10</v>
      </c>
      <c r="D197" s="31">
        <f t="shared" ref="D197:I197" si="30">SUM(D193:D195)</f>
        <v>15440.18</v>
      </c>
      <c r="E197" s="31">
        <f t="shared" si="30"/>
        <v>1.69</v>
      </c>
      <c r="F197" s="31">
        <f t="shared" si="30"/>
        <v>0</v>
      </c>
      <c r="G197" s="31">
        <f t="shared" si="30"/>
        <v>0</v>
      </c>
      <c r="H197" s="31">
        <f t="shared" si="30"/>
        <v>0</v>
      </c>
      <c r="I197" s="31">
        <f t="shared" si="30"/>
        <v>0</v>
      </c>
      <c r="J197" s="31">
        <f>SUM(D197:I197)</f>
        <v>15441.87</v>
      </c>
      <c r="K197" s="8"/>
      <c r="L197" s="8"/>
    </row>
    <row r="198" spans="1:12" ht="16.5" thickTop="1">
      <c r="A198" s="57"/>
      <c r="B198" s="57"/>
      <c r="C198" s="57"/>
      <c r="D198" s="20"/>
      <c r="E198" s="20"/>
      <c r="F198" s="20"/>
      <c r="G198" s="20"/>
      <c r="H198" s="20"/>
      <c r="I198" s="20"/>
      <c r="J198" s="20"/>
      <c r="K198" s="8"/>
      <c r="L198" s="8"/>
    </row>
    <row r="199" spans="1:12">
      <c r="A199" s="57"/>
      <c r="B199" s="57"/>
      <c r="C199" s="57"/>
      <c r="D199" s="20"/>
      <c r="E199" s="20"/>
      <c r="F199" s="20"/>
      <c r="G199" s="20"/>
      <c r="H199" s="20"/>
      <c r="I199" s="20"/>
      <c r="J199" s="20"/>
      <c r="K199" s="8"/>
      <c r="L199" s="8"/>
    </row>
    <row r="200" spans="1:12">
      <c r="A200" s="57">
        <v>52</v>
      </c>
      <c r="B200" s="57" t="s">
        <v>47</v>
      </c>
      <c r="C200" s="57" t="s">
        <v>12</v>
      </c>
      <c r="D200" s="25">
        <v>19355.91</v>
      </c>
      <c r="E200" s="25">
        <v>294.04000000000002</v>
      </c>
      <c r="F200" s="25">
        <v>15.93</v>
      </c>
      <c r="G200" s="25">
        <v>0</v>
      </c>
      <c r="H200" s="25">
        <v>0</v>
      </c>
      <c r="I200" s="25">
        <v>0</v>
      </c>
      <c r="J200" s="25">
        <f>SUM(D200:I200)</f>
        <v>19665.88</v>
      </c>
      <c r="K200" s="8"/>
      <c r="L200" s="8"/>
    </row>
    <row r="201" spans="1:12" ht="16.5" hidden="1" thickBot="1">
      <c r="A201" s="57"/>
      <c r="B201" s="57"/>
      <c r="C201" s="57" t="s">
        <v>13</v>
      </c>
      <c r="D201" s="29"/>
      <c r="E201" s="29"/>
      <c r="F201" s="29"/>
      <c r="G201" s="29"/>
      <c r="H201" s="29"/>
      <c r="I201" s="29"/>
      <c r="J201" s="29">
        <v>0</v>
      </c>
      <c r="K201" s="8"/>
      <c r="L201" s="8"/>
    </row>
    <row r="202" spans="1:12">
      <c r="A202" s="57"/>
      <c r="B202" s="57"/>
      <c r="C202" s="57"/>
      <c r="D202" s="20"/>
      <c r="E202" s="20"/>
      <c r="F202" s="20"/>
      <c r="G202" s="20"/>
      <c r="H202" s="20"/>
      <c r="I202" s="20"/>
      <c r="J202" s="20"/>
      <c r="K202" s="8"/>
      <c r="L202" s="8"/>
    </row>
    <row r="203" spans="1:12" ht="16.5" thickBot="1">
      <c r="A203" s="57"/>
      <c r="B203" s="57"/>
      <c r="C203" s="57" t="s">
        <v>10</v>
      </c>
      <c r="D203" s="31">
        <f t="shared" ref="D203:I203" si="31">SUM(D200:D201)</f>
        <v>19355.91</v>
      </c>
      <c r="E203" s="31">
        <f t="shared" si="31"/>
        <v>294.04000000000002</v>
      </c>
      <c r="F203" s="31">
        <f t="shared" si="31"/>
        <v>15.93</v>
      </c>
      <c r="G203" s="31">
        <f t="shared" si="31"/>
        <v>0</v>
      </c>
      <c r="H203" s="31">
        <f t="shared" si="31"/>
        <v>0</v>
      </c>
      <c r="I203" s="31">
        <f t="shared" si="31"/>
        <v>0</v>
      </c>
      <c r="J203" s="31">
        <f>SUM(D203:I203)</f>
        <v>19665.88</v>
      </c>
      <c r="K203" s="8"/>
      <c r="L203" s="8"/>
    </row>
    <row r="204" spans="1:12" ht="16.5" thickTop="1">
      <c r="A204" s="57"/>
      <c r="B204" s="57"/>
      <c r="C204" s="57"/>
      <c r="D204" s="20"/>
      <c r="E204" s="20"/>
      <c r="F204" s="20"/>
      <c r="G204" s="20"/>
      <c r="H204" s="20"/>
      <c r="I204" s="20"/>
      <c r="J204" s="20"/>
      <c r="K204" s="8"/>
      <c r="L204" s="8"/>
    </row>
    <row r="205" spans="1:12">
      <c r="A205" s="57"/>
      <c r="B205" s="57"/>
      <c r="C205" s="57"/>
      <c r="D205" s="20"/>
      <c r="E205" s="20"/>
      <c r="F205" s="20"/>
      <c r="G205" s="20"/>
      <c r="H205" s="20"/>
      <c r="I205" s="20"/>
      <c r="J205" s="20"/>
      <c r="K205" s="8"/>
      <c r="L205" s="8"/>
    </row>
    <row r="206" spans="1:12" ht="16.5" thickBot="1">
      <c r="A206" s="57">
        <v>53</v>
      </c>
      <c r="B206" s="57" t="s">
        <v>48</v>
      </c>
      <c r="C206" s="57" t="s">
        <v>12</v>
      </c>
      <c r="D206" s="29">
        <v>49608.52</v>
      </c>
      <c r="E206" s="29">
        <v>665.33</v>
      </c>
      <c r="F206" s="29">
        <v>0</v>
      </c>
      <c r="G206" s="29">
        <v>0</v>
      </c>
      <c r="H206" s="29">
        <v>0</v>
      </c>
      <c r="I206" s="29">
        <v>0</v>
      </c>
      <c r="J206" s="29">
        <f>SUM(D206:I206)</f>
        <v>50273.85</v>
      </c>
      <c r="K206" s="8"/>
      <c r="L206" s="8"/>
    </row>
    <row r="207" spans="1:12" hidden="1">
      <c r="A207" s="57"/>
      <c r="B207" s="57"/>
      <c r="C207" s="57" t="s">
        <v>35</v>
      </c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f>SUM(D207:I207)</f>
        <v>0</v>
      </c>
      <c r="K207" s="8"/>
      <c r="L207" s="8"/>
    </row>
    <row r="208" spans="1:12" hidden="1">
      <c r="A208" s="57"/>
      <c r="B208" s="57"/>
      <c r="C208" s="57" t="s">
        <v>97</v>
      </c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f>SUM(D208:I208)</f>
        <v>0</v>
      </c>
      <c r="K208" s="8"/>
      <c r="L208" s="8"/>
    </row>
    <row r="209" spans="1:12" ht="16.5" hidden="1" thickBot="1">
      <c r="A209" s="57"/>
      <c r="B209" s="57"/>
      <c r="C209" s="57" t="s">
        <v>98</v>
      </c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f>SUM(D209:I209)</f>
        <v>0</v>
      </c>
      <c r="K209" s="8"/>
      <c r="L209" s="8"/>
    </row>
    <row r="210" spans="1:12">
      <c r="A210" s="57"/>
      <c r="B210" s="57"/>
      <c r="C210" s="57"/>
      <c r="D210" s="20"/>
      <c r="E210" s="20"/>
      <c r="F210" s="20"/>
      <c r="G210" s="20"/>
      <c r="H210" s="20"/>
      <c r="I210" s="20"/>
      <c r="J210" s="20"/>
      <c r="K210" s="8"/>
      <c r="L210" s="8"/>
    </row>
    <row r="211" spans="1:12" ht="16.5" thickBot="1">
      <c r="A211" s="57"/>
      <c r="B211" s="57"/>
      <c r="C211" s="57" t="s">
        <v>10</v>
      </c>
      <c r="D211" s="31">
        <f>SUM(D206:D210)</f>
        <v>49608.52</v>
      </c>
      <c r="E211" s="31">
        <f t="shared" ref="E211:J211" si="32">SUM(E206:E210)</f>
        <v>665.33</v>
      </c>
      <c r="F211" s="31">
        <f t="shared" si="32"/>
        <v>0</v>
      </c>
      <c r="G211" s="31">
        <f t="shared" si="32"/>
        <v>0</v>
      </c>
      <c r="H211" s="31">
        <f t="shared" si="32"/>
        <v>0</v>
      </c>
      <c r="I211" s="31">
        <f t="shared" si="32"/>
        <v>0</v>
      </c>
      <c r="J211" s="31">
        <f t="shared" si="32"/>
        <v>50273.85</v>
      </c>
      <c r="K211" s="8"/>
      <c r="L211" s="8"/>
    </row>
    <row r="212" spans="1:12" ht="16.5" thickTop="1">
      <c r="A212" s="57"/>
      <c r="B212" s="57"/>
      <c r="C212" s="57"/>
      <c r="D212" s="20"/>
      <c r="E212" s="20"/>
      <c r="F212" s="20"/>
      <c r="G212" s="20"/>
      <c r="H212" s="20"/>
      <c r="I212" s="20"/>
      <c r="J212" s="20"/>
      <c r="K212" s="8"/>
      <c r="L212" s="8"/>
    </row>
    <row r="213" spans="1:12">
      <c r="A213" s="57"/>
      <c r="B213" s="57"/>
      <c r="C213" s="57"/>
      <c r="D213" s="20"/>
      <c r="E213" s="20"/>
      <c r="F213" s="20"/>
      <c r="G213" s="20"/>
      <c r="H213" s="20"/>
      <c r="I213" s="20"/>
      <c r="J213" s="20"/>
      <c r="K213" s="8"/>
      <c r="L213" s="8"/>
    </row>
    <row r="214" spans="1:12">
      <c r="A214" s="57">
        <v>54</v>
      </c>
      <c r="B214" s="57" t="s">
        <v>49</v>
      </c>
      <c r="C214" s="57" t="s">
        <v>12</v>
      </c>
      <c r="D214" s="25">
        <v>16248.72</v>
      </c>
      <c r="E214" s="25">
        <v>53.78</v>
      </c>
      <c r="F214" s="25">
        <v>0</v>
      </c>
      <c r="G214" s="25">
        <v>0</v>
      </c>
      <c r="H214" s="25">
        <v>0</v>
      </c>
      <c r="I214" s="25">
        <v>0</v>
      </c>
      <c r="J214" s="25">
        <f>SUM(D214:I214)</f>
        <v>16302.5</v>
      </c>
      <c r="K214" s="8"/>
      <c r="L214" s="8"/>
    </row>
    <row r="215" spans="1:12" ht="16.5" hidden="1" thickBot="1">
      <c r="A215" s="57"/>
      <c r="B215" s="57"/>
      <c r="C215" s="57" t="s">
        <v>104</v>
      </c>
      <c r="D215" s="29"/>
      <c r="E215" s="29"/>
      <c r="F215" s="29"/>
      <c r="G215" s="29"/>
      <c r="H215" s="29"/>
      <c r="I215" s="29"/>
      <c r="J215" s="29">
        <f>SUM(D215:I215)</f>
        <v>0</v>
      </c>
      <c r="K215" s="8"/>
      <c r="L215" s="8"/>
    </row>
    <row r="216" spans="1:12">
      <c r="A216" s="57"/>
      <c r="B216" s="57"/>
      <c r="C216" s="57"/>
      <c r="D216" s="20"/>
      <c r="E216" s="20"/>
      <c r="F216" s="20"/>
      <c r="G216" s="20"/>
      <c r="H216" s="20"/>
      <c r="I216" s="20"/>
      <c r="J216" s="20"/>
      <c r="K216" s="8"/>
      <c r="L216" s="8"/>
    </row>
    <row r="217" spans="1:12" ht="16.5" thickBot="1">
      <c r="A217" s="57"/>
      <c r="B217" s="57"/>
      <c r="C217" s="57" t="s">
        <v>10</v>
      </c>
      <c r="D217" s="31">
        <f t="shared" ref="D217:I217" si="33">SUM(D214:D216)</f>
        <v>16248.72</v>
      </c>
      <c r="E217" s="31">
        <f t="shared" si="33"/>
        <v>53.78</v>
      </c>
      <c r="F217" s="31">
        <f t="shared" si="33"/>
        <v>0</v>
      </c>
      <c r="G217" s="31">
        <f t="shared" si="33"/>
        <v>0</v>
      </c>
      <c r="H217" s="31">
        <f t="shared" si="33"/>
        <v>0</v>
      </c>
      <c r="I217" s="31">
        <f t="shared" si="33"/>
        <v>0</v>
      </c>
      <c r="J217" s="31">
        <f>SUM(D217:I217)</f>
        <v>16302.5</v>
      </c>
      <c r="K217" s="8"/>
      <c r="L217" s="8"/>
    </row>
    <row r="218" spans="1:12" ht="16.5" thickTop="1">
      <c r="A218" s="57"/>
      <c r="B218" s="57"/>
      <c r="C218" s="57"/>
      <c r="D218" s="20"/>
      <c r="E218" s="20"/>
      <c r="F218" s="20"/>
      <c r="G218" s="20"/>
      <c r="H218" s="20"/>
      <c r="I218" s="20"/>
      <c r="J218" s="20"/>
      <c r="K218" s="8"/>
      <c r="L218" s="8"/>
    </row>
    <row r="219" spans="1:12">
      <c r="A219" s="57"/>
      <c r="B219" s="57"/>
      <c r="C219" s="57"/>
      <c r="D219" s="20"/>
      <c r="E219" s="20"/>
      <c r="F219" s="20"/>
      <c r="G219" s="20"/>
      <c r="H219" s="20"/>
      <c r="I219" s="20"/>
      <c r="J219" s="20"/>
      <c r="K219" s="8"/>
      <c r="L219" s="8"/>
    </row>
    <row r="220" spans="1:12">
      <c r="A220" s="57">
        <v>55</v>
      </c>
      <c r="B220" s="57" t="s">
        <v>50</v>
      </c>
      <c r="C220" s="57" t="s">
        <v>12</v>
      </c>
      <c r="D220" s="20">
        <v>56711.83</v>
      </c>
      <c r="E220" s="20">
        <v>622.72</v>
      </c>
      <c r="F220" s="20">
        <v>16.09</v>
      </c>
      <c r="G220" s="20">
        <v>0</v>
      </c>
      <c r="H220" s="20">
        <v>0</v>
      </c>
      <c r="I220" s="20">
        <v>0</v>
      </c>
      <c r="J220" s="20">
        <f>SUM(D220:I220)</f>
        <v>57350.64</v>
      </c>
      <c r="K220" s="8"/>
      <c r="L220" s="8"/>
    </row>
    <row r="221" spans="1:12" ht="16.5" thickBot="1">
      <c r="A221" s="57"/>
      <c r="B221" s="57"/>
      <c r="C221" s="57" t="s">
        <v>13</v>
      </c>
      <c r="D221" s="29">
        <v>819.12</v>
      </c>
      <c r="E221" s="29">
        <v>8.9600000000000009</v>
      </c>
      <c r="F221" s="29">
        <v>0.18</v>
      </c>
      <c r="G221" s="29">
        <v>0</v>
      </c>
      <c r="H221" s="29">
        <v>0</v>
      </c>
      <c r="I221" s="29">
        <v>0</v>
      </c>
      <c r="J221" s="29">
        <f>SUM(D221:I221)</f>
        <v>828.26</v>
      </c>
      <c r="K221" s="8"/>
      <c r="L221" s="8"/>
    </row>
    <row r="222" spans="1:12">
      <c r="A222" s="57"/>
      <c r="B222" s="57"/>
      <c r="C222" s="57"/>
      <c r="D222" s="20"/>
      <c r="E222" s="20"/>
      <c r="F222" s="20"/>
      <c r="G222" s="20"/>
      <c r="H222" s="20"/>
      <c r="I222" s="20"/>
      <c r="J222" s="20"/>
      <c r="K222" s="8"/>
      <c r="L222" s="8"/>
    </row>
    <row r="223" spans="1:12" ht="16.5" thickBot="1">
      <c r="A223" s="57"/>
      <c r="B223" s="57"/>
      <c r="C223" s="57" t="s">
        <v>10</v>
      </c>
      <c r="D223" s="31">
        <f t="shared" ref="D223:I223" si="34">SUM(D220:D221)</f>
        <v>57530.950000000004</v>
      </c>
      <c r="E223" s="31">
        <f t="shared" si="34"/>
        <v>631.68000000000006</v>
      </c>
      <c r="F223" s="31">
        <f t="shared" si="34"/>
        <v>16.27</v>
      </c>
      <c r="G223" s="31">
        <f t="shared" si="34"/>
        <v>0</v>
      </c>
      <c r="H223" s="31">
        <f t="shared" si="34"/>
        <v>0</v>
      </c>
      <c r="I223" s="31">
        <f t="shared" si="34"/>
        <v>0</v>
      </c>
      <c r="J223" s="31">
        <f>SUM(D223:I223)</f>
        <v>58178.9</v>
      </c>
      <c r="K223" s="8"/>
      <c r="L223" s="8"/>
    </row>
    <row r="224" spans="1:12" ht="16.5" thickTop="1">
      <c r="A224" s="57"/>
      <c r="B224" s="57"/>
      <c r="C224" s="57"/>
      <c r="D224" s="20"/>
      <c r="E224" s="20"/>
      <c r="F224" s="20"/>
      <c r="G224" s="20"/>
      <c r="H224" s="20"/>
      <c r="I224" s="20"/>
      <c r="J224" s="20"/>
      <c r="K224" s="8"/>
      <c r="L224" s="8"/>
    </row>
    <row r="225" spans="1:12">
      <c r="A225" s="57"/>
      <c r="B225" s="57"/>
      <c r="C225" s="57"/>
      <c r="D225" s="20"/>
      <c r="E225" s="20"/>
      <c r="F225" s="20"/>
      <c r="G225" s="20"/>
      <c r="H225" s="20"/>
      <c r="I225" s="20"/>
      <c r="J225" s="20"/>
      <c r="K225" s="8"/>
      <c r="L225" s="8"/>
    </row>
    <row r="226" spans="1:12">
      <c r="A226" s="57">
        <v>56</v>
      </c>
      <c r="B226" s="57" t="s">
        <v>51</v>
      </c>
      <c r="C226" s="57" t="s">
        <v>12</v>
      </c>
      <c r="D226" s="20">
        <v>32242.6</v>
      </c>
      <c r="E226" s="20">
        <v>616.44000000000005</v>
      </c>
      <c r="F226" s="20">
        <v>0</v>
      </c>
      <c r="G226" s="20">
        <v>0</v>
      </c>
      <c r="H226" s="20">
        <v>0</v>
      </c>
      <c r="I226" s="20">
        <v>0</v>
      </c>
      <c r="J226" s="20">
        <f>SUM(D226:I226)</f>
        <v>32859.040000000001</v>
      </c>
      <c r="K226" s="8"/>
      <c r="L226" s="8"/>
    </row>
    <row r="227" spans="1:12" ht="16.5" thickBot="1">
      <c r="A227" s="57"/>
      <c r="B227" s="57"/>
      <c r="C227" s="57" t="s">
        <v>13</v>
      </c>
      <c r="D227" s="29">
        <v>1812.88</v>
      </c>
      <c r="E227" s="29">
        <v>35.46</v>
      </c>
      <c r="F227" s="29">
        <v>0</v>
      </c>
      <c r="G227" s="29">
        <v>0</v>
      </c>
      <c r="H227" s="29">
        <v>0</v>
      </c>
      <c r="I227" s="29">
        <v>0</v>
      </c>
      <c r="J227" s="29">
        <f>SUM(D227:I227)</f>
        <v>1848.3400000000001</v>
      </c>
      <c r="K227" s="8"/>
      <c r="L227" s="8"/>
    </row>
    <row r="228" spans="1:12">
      <c r="A228" s="57"/>
      <c r="B228" s="57"/>
      <c r="C228" s="57"/>
      <c r="D228" s="20"/>
      <c r="E228" s="20"/>
      <c r="F228" s="20"/>
      <c r="G228" s="20"/>
      <c r="H228" s="20"/>
      <c r="I228" s="20"/>
      <c r="J228" s="20"/>
      <c r="K228" s="8"/>
      <c r="L228" s="8"/>
    </row>
    <row r="229" spans="1:12" ht="16.5" thickBot="1">
      <c r="A229" s="57"/>
      <c r="B229" s="57"/>
      <c r="C229" s="57" t="s">
        <v>10</v>
      </c>
      <c r="D229" s="31">
        <f t="shared" ref="D229:I229" si="35">SUM(D226:D227)</f>
        <v>34055.479999999996</v>
      </c>
      <c r="E229" s="31">
        <f t="shared" si="35"/>
        <v>651.90000000000009</v>
      </c>
      <c r="F229" s="31">
        <f t="shared" si="35"/>
        <v>0</v>
      </c>
      <c r="G229" s="31">
        <f t="shared" si="35"/>
        <v>0</v>
      </c>
      <c r="H229" s="31">
        <f t="shared" si="35"/>
        <v>0</v>
      </c>
      <c r="I229" s="31">
        <f t="shared" si="35"/>
        <v>0</v>
      </c>
      <c r="J229" s="31">
        <f>SUM(D229:I229)</f>
        <v>34707.379999999997</v>
      </c>
      <c r="K229" s="8"/>
      <c r="L229" s="8"/>
    </row>
    <row r="230" spans="1:12" ht="16.5" thickTop="1">
      <c r="A230" s="57"/>
      <c r="B230" s="57"/>
      <c r="C230" s="57"/>
      <c r="D230" s="20"/>
      <c r="E230" s="20"/>
      <c r="F230" s="20"/>
      <c r="G230" s="20"/>
      <c r="H230" s="20"/>
      <c r="I230" s="20"/>
      <c r="J230" s="20"/>
      <c r="K230" s="8"/>
      <c r="L230" s="8"/>
    </row>
    <row r="231" spans="1:12">
      <c r="A231" s="57"/>
      <c r="B231" s="57"/>
      <c r="C231" s="57"/>
      <c r="D231" s="20"/>
      <c r="E231" s="20"/>
      <c r="F231" s="20"/>
      <c r="G231" s="20"/>
      <c r="H231" s="20"/>
      <c r="I231" s="20"/>
      <c r="J231" s="20"/>
      <c r="K231" s="8"/>
      <c r="L231" s="8"/>
    </row>
    <row r="232" spans="1:12">
      <c r="A232" s="57">
        <v>57</v>
      </c>
      <c r="B232" s="57" t="s">
        <v>52</v>
      </c>
      <c r="C232" s="57" t="s">
        <v>12</v>
      </c>
      <c r="D232" s="20">
        <v>43586.96</v>
      </c>
      <c r="E232" s="20">
        <v>316.82</v>
      </c>
      <c r="F232" s="20">
        <v>0</v>
      </c>
      <c r="G232" s="20">
        <v>0</v>
      </c>
      <c r="H232" s="20">
        <v>0</v>
      </c>
      <c r="I232" s="20">
        <v>0</v>
      </c>
      <c r="J232" s="20">
        <f>SUM(D232:I232)</f>
        <v>43903.78</v>
      </c>
      <c r="K232" s="8"/>
      <c r="L232" s="8"/>
    </row>
    <row r="233" spans="1:12" hidden="1">
      <c r="A233" s="57"/>
      <c r="B233" s="57"/>
      <c r="C233" s="57" t="s">
        <v>13</v>
      </c>
      <c r="D233" s="20"/>
      <c r="E233" s="20"/>
      <c r="F233" s="20"/>
      <c r="G233" s="20">
        <v>0</v>
      </c>
      <c r="H233" s="20">
        <v>0</v>
      </c>
      <c r="I233" s="20">
        <v>0</v>
      </c>
      <c r="J233" s="20">
        <f t="shared" ref="J233:J234" si="36">SUM(D233:I233)</f>
        <v>0</v>
      </c>
      <c r="K233" s="8"/>
      <c r="L233" s="8"/>
    </row>
    <row r="234" spans="1:12" ht="16.5" thickBot="1">
      <c r="A234" s="57"/>
      <c r="B234" s="57"/>
      <c r="C234" s="57" t="s">
        <v>13</v>
      </c>
      <c r="D234" s="29">
        <v>823.31</v>
      </c>
      <c r="E234" s="29">
        <v>5.78</v>
      </c>
      <c r="F234" s="29">
        <v>0</v>
      </c>
      <c r="G234" s="29">
        <v>0</v>
      </c>
      <c r="H234" s="29">
        <v>0</v>
      </c>
      <c r="I234" s="29">
        <v>0</v>
      </c>
      <c r="J234" s="29">
        <f t="shared" si="36"/>
        <v>829.08999999999992</v>
      </c>
      <c r="K234" s="8"/>
      <c r="L234" s="8"/>
    </row>
    <row r="235" spans="1:12" ht="16.5" hidden="1" thickBot="1">
      <c r="A235" s="57"/>
      <c r="B235" s="57"/>
      <c r="C235" s="57" t="s">
        <v>109</v>
      </c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f>SUM(D235:I235)</f>
        <v>0</v>
      </c>
      <c r="K235" s="8"/>
      <c r="L235" s="8"/>
    </row>
    <row r="236" spans="1:12">
      <c r="A236" s="57"/>
      <c r="B236" s="57"/>
      <c r="C236" s="57"/>
      <c r="D236" s="20"/>
      <c r="E236" s="20"/>
      <c r="F236" s="20"/>
      <c r="G236" s="20"/>
      <c r="H236" s="20"/>
      <c r="I236" s="20"/>
      <c r="J236" s="20"/>
      <c r="K236" s="8"/>
      <c r="L236" s="8"/>
    </row>
    <row r="237" spans="1:12" ht="16.5" thickBot="1">
      <c r="A237" s="57"/>
      <c r="B237" s="57"/>
      <c r="C237" s="57" t="s">
        <v>10</v>
      </c>
      <c r="D237" s="31">
        <f t="shared" ref="D237:I237" si="37">SUM(D232:D235)</f>
        <v>44410.27</v>
      </c>
      <c r="E237" s="31">
        <f t="shared" si="37"/>
        <v>322.59999999999997</v>
      </c>
      <c r="F237" s="31">
        <f t="shared" si="37"/>
        <v>0</v>
      </c>
      <c r="G237" s="31">
        <f t="shared" si="37"/>
        <v>0</v>
      </c>
      <c r="H237" s="31">
        <f t="shared" si="37"/>
        <v>0</v>
      </c>
      <c r="I237" s="31">
        <f t="shared" si="37"/>
        <v>0</v>
      </c>
      <c r="J237" s="31">
        <f>SUM(D237:I237)</f>
        <v>44732.869999999995</v>
      </c>
      <c r="K237" s="8"/>
      <c r="L237" s="8"/>
    </row>
    <row r="238" spans="1:12" ht="16.5" thickTop="1">
      <c r="A238" s="57"/>
      <c r="B238" s="57"/>
      <c r="C238" s="57"/>
      <c r="D238" s="20"/>
      <c r="E238" s="20"/>
      <c r="F238" s="20"/>
      <c r="G238" s="20"/>
      <c r="H238" s="20"/>
      <c r="I238" s="20"/>
      <c r="J238" s="20"/>
      <c r="K238" s="8"/>
      <c r="L238" s="8"/>
    </row>
    <row r="239" spans="1:12">
      <c r="A239" s="57"/>
      <c r="B239" s="57"/>
      <c r="C239" s="57"/>
      <c r="D239" s="20"/>
      <c r="E239" s="20"/>
      <c r="F239" s="20"/>
      <c r="G239" s="20"/>
      <c r="H239" s="20"/>
      <c r="I239" s="20"/>
      <c r="J239" s="20"/>
      <c r="K239" s="8"/>
      <c r="L239" s="8"/>
    </row>
    <row r="240" spans="1:12">
      <c r="A240" s="57">
        <v>58</v>
      </c>
      <c r="B240" s="57" t="s">
        <v>53</v>
      </c>
      <c r="C240" s="57" t="s">
        <v>12</v>
      </c>
      <c r="D240" s="20">
        <v>23655.82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f>SUM(D240:I240)</f>
        <v>23655.82</v>
      </c>
      <c r="K240" s="8"/>
      <c r="L240" s="8"/>
    </row>
    <row r="241" spans="1:12" ht="16.5" thickBot="1">
      <c r="A241" s="57"/>
      <c r="B241" s="57"/>
      <c r="C241" s="57" t="s">
        <v>116</v>
      </c>
      <c r="D241" s="29">
        <v>30091.59</v>
      </c>
      <c r="E241" s="29">
        <v>0</v>
      </c>
      <c r="F241" s="29">
        <v>0</v>
      </c>
      <c r="G241" s="29"/>
      <c r="H241" s="29"/>
      <c r="I241" s="29"/>
      <c r="J241" s="29">
        <f>SUM(D241:I241)</f>
        <v>30091.59</v>
      </c>
      <c r="K241" s="8"/>
      <c r="L241" s="8"/>
    </row>
    <row r="242" spans="1:12">
      <c r="A242" s="57"/>
      <c r="B242" s="57"/>
      <c r="C242" s="57"/>
      <c r="D242" s="20"/>
      <c r="E242" s="20"/>
      <c r="F242" s="20"/>
      <c r="G242" s="20"/>
      <c r="H242" s="20"/>
      <c r="I242" s="20"/>
      <c r="J242" s="20"/>
      <c r="K242" s="8"/>
      <c r="L242" s="8"/>
    </row>
    <row r="243" spans="1:12" ht="16.5" thickBot="1">
      <c r="A243" s="57"/>
      <c r="B243" s="57"/>
      <c r="C243" s="57" t="s">
        <v>10</v>
      </c>
      <c r="D243" s="31">
        <f t="shared" ref="D243:I243" si="38">SUM(D240:D241)</f>
        <v>53747.41</v>
      </c>
      <c r="E243" s="31">
        <f t="shared" si="38"/>
        <v>0</v>
      </c>
      <c r="F243" s="31">
        <f t="shared" si="38"/>
        <v>0</v>
      </c>
      <c r="G243" s="31">
        <f t="shared" si="38"/>
        <v>0</v>
      </c>
      <c r="H243" s="31">
        <f t="shared" si="38"/>
        <v>0</v>
      </c>
      <c r="I243" s="31">
        <f t="shared" si="38"/>
        <v>0</v>
      </c>
      <c r="J243" s="31">
        <f>SUM(D243:I243)</f>
        <v>53747.41</v>
      </c>
      <c r="K243" s="8"/>
      <c r="L243" s="8"/>
    </row>
    <row r="244" spans="1:12" ht="16.5" thickTop="1">
      <c r="A244" s="57"/>
      <c r="B244" s="57"/>
      <c r="C244" s="57"/>
      <c r="D244" s="20"/>
      <c r="E244" s="20"/>
      <c r="F244" s="20"/>
      <c r="G244" s="20"/>
      <c r="H244" s="20"/>
      <c r="I244" s="20"/>
      <c r="J244" s="20"/>
      <c r="K244" s="8"/>
      <c r="L244" s="8"/>
    </row>
    <row r="245" spans="1:12">
      <c r="A245" s="57"/>
      <c r="B245" s="57"/>
      <c r="C245" s="57"/>
      <c r="D245" s="20"/>
      <c r="E245" s="20"/>
      <c r="F245" s="20"/>
      <c r="G245" s="20"/>
      <c r="H245" s="20"/>
      <c r="I245" s="20"/>
      <c r="J245" s="20"/>
      <c r="K245" s="8"/>
      <c r="L245" s="8"/>
    </row>
    <row r="246" spans="1:12">
      <c r="A246" s="57">
        <v>59</v>
      </c>
      <c r="B246" s="57" t="s">
        <v>54</v>
      </c>
      <c r="C246" s="57" t="s">
        <v>12</v>
      </c>
      <c r="D246" s="20">
        <v>36479.9</v>
      </c>
      <c r="E246" s="20">
        <v>846.33</v>
      </c>
      <c r="F246" s="20">
        <v>84.82</v>
      </c>
      <c r="G246" s="20">
        <v>0</v>
      </c>
      <c r="H246" s="20">
        <v>0</v>
      </c>
      <c r="I246" s="20">
        <v>0</v>
      </c>
      <c r="J246" s="20">
        <f>SUM(D246:I246)</f>
        <v>37411.050000000003</v>
      </c>
      <c r="K246" s="8"/>
      <c r="L246" s="8"/>
    </row>
    <row r="247" spans="1:12" ht="16.5" thickBot="1">
      <c r="A247" s="57"/>
      <c r="B247" s="57"/>
      <c r="C247" s="57" t="s">
        <v>35</v>
      </c>
      <c r="D247" s="29">
        <v>2453.25</v>
      </c>
      <c r="E247" s="29"/>
      <c r="F247" s="29"/>
      <c r="G247" s="29">
        <v>0</v>
      </c>
      <c r="H247" s="29">
        <v>0</v>
      </c>
      <c r="I247" s="29">
        <v>0</v>
      </c>
      <c r="J247" s="29">
        <f>SUM(D247:I247)</f>
        <v>2453.25</v>
      </c>
      <c r="K247" s="8"/>
      <c r="L247" s="8"/>
    </row>
    <row r="248" spans="1:12">
      <c r="A248" s="57"/>
      <c r="B248" s="57"/>
      <c r="C248" s="57"/>
      <c r="D248" s="20"/>
      <c r="E248" s="20"/>
      <c r="F248" s="20"/>
      <c r="G248" s="20"/>
      <c r="H248" s="20"/>
      <c r="I248" s="20"/>
      <c r="J248" s="20"/>
      <c r="K248" s="8"/>
      <c r="L248" s="8"/>
    </row>
    <row r="249" spans="1:12" ht="16.5" thickBot="1">
      <c r="A249" s="57"/>
      <c r="B249" s="57"/>
      <c r="C249" s="57" t="s">
        <v>10</v>
      </c>
      <c r="D249" s="31">
        <f t="shared" ref="D249:I249" si="39">SUM(D246:D247)</f>
        <v>38933.15</v>
      </c>
      <c r="E249" s="31">
        <f t="shared" si="39"/>
        <v>846.33</v>
      </c>
      <c r="F249" s="31">
        <f t="shared" si="39"/>
        <v>84.82</v>
      </c>
      <c r="G249" s="31">
        <f t="shared" si="39"/>
        <v>0</v>
      </c>
      <c r="H249" s="31">
        <f t="shared" si="39"/>
        <v>0</v>
      </c>
      <c r="I249" s="31">
        <f t="shared" si="39"/>
        <v>0</v>
      </c>
      <c r="J249" s="31">
        <f>SUM(D249:I249)</f>
        <v>39864.300000000003</v>
      </c>
      <c r="K249" s="8"/>
      <c r="L249" s="8"/>
    </row>
    <row r="250" spans="1:12" ht="16.5" thickTop="1">
      <c r="A250" s="57"/>
      <c r="B250" s="57"/>
      <c r="C250" s="57"/>
      <c r="D250" s="20"/>
      <c r="E250" s="20"/>
      <c r="F250" s="20"/>
      <c r="G250" s="20"/>
      <c r="H250" s="20"/>
      <c r="I250" s="20"/>
      <c r="J250" s="20"/>
      <c r="K250" s="8"/>
      <c r="L250" s="8"/>
    </row>
    <row r="251" spans="1:12">
      <c r="A251" s="57"/>
      <c r="B251" s="57"/>
      <c r="C251" s="57"/>
      <c r="D251" s="20"/>
      <c r="E251" s="20"/>
      <c r="F251" s="20"/>
      <c r="G251" s="20"/>
      <c r="H251" s="20"/>
      <c r="I251" s="20"/>
      <c r="J251" s="20"/>
      <c r="K251" s="8"/>
      <c r="L251" s="8"/>
    </row>
    <row r="252" spans="1:12">
      <c r="A252" s="57">
        <v>60</v>
      </c>
      <c r="B252" s="57" t="s">
        <v>55</v>
      </c>
      <c r="C252" s="57" t="s">
        <v>12</v>
      </c>
      <c r="D252" s="20">
        <v>124658.24000000001</v>
      </c>
      <c r="E252" s="20">
        <v>292.98</v>
      </c>
      <c r="F252" s="20">
        <v>299.29000000000002</v>
      </c>
      <c r="G252" s="20">
        <v>0</v>
      </c>
      <c r="H252" s="20">
        <v>0</v>
      </c>
      <c r="I252" s="20">
        <v>0</v>
      </c>
      <c r="J252" s="20">
        <f>SUM(D252:I252)</f>
        <v>125250.51</v>
      </c>
      <c r="K252" s="8"/>
      <c r="L252" s="8"/>
    </row>
    <row r="253" spans="1:12" hidden="1">
      <c r="A253" s="57"/>
      <c r="B253" s="57"/>
      <c r="C253" s="57" t="s">
        <v>35</v>
      </c>
      <c r="D253" s="20"/>
      <c r="E253" s="20"/>
      <c r="F253" s="20"/>
      <c r="G253" s="20">
        <v>0</v>
      </c>
      <c r="H253" s="20">
        <v>0</v>
      </c>
      <c r="I253" s="20">
        <v>0</v>
      </c>
      <c r="J253" s="20">
        <f>SUM(D253:I253)</f>
        <v>0</v>
      </c>
      <c r="K253" s="8"/>
      <c r="L253" s="8"/>
    </row>
    <row r="254" spans="1:12" ht="16.5" thickBot="1">
      <c r="A254" s="57"/>
      <c r="B254" s="57"/>
      <c r="C254" s="57"/>
      <c r="D254" s="29"/>
      <c r="E254" s="29"/>
      <c r="F254" s="29"/>
      <c r="G254" s="29">
        <v>0</v>
      </c>
      <c r="H254" s="29">
        <v>0</v>
      </c>
      <c r="I254" s="29">
        <v>0</v>
      </c>
      <c r="J254" s="29">
        <f>SUM(D254:I254)</f>
        <v>0</v>
      </c>
      <c r="K254" s="8"/>
      <c r="L254" s="8"/>
    </row>
    <row r="255" spans="1:12" hidden="1">
      <c r="A255" s="57"/>
      <c r="B255" s="57"/>
      <c r="C255" s="57" t="s">
        <v>98</v>
      </c>
      <c r="D255" s="2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f>SUM(D255:I255)</f>
        <v>0</v>
      </c>
      <c r="K255" s="8"/>
      <c r="L255" s="8"/>
    </row>
    <row r="256" spans="1:12">
      <c r="A256" s="57"/>
      <c r="B256" s="57"/>
      <c r="C256" s="57"/>
      <c r="D256" s="20"/>
      <c r="E256" s="20"/>
      <c r="F256" s="20"/>
      <c r="G256" s="20"/>
      <c r="H256" s="20"/>
      <c r="I256" s="20"/>
      <c r="J256" s="20"/>
      <c r="K256" s="8"/>
      <c r="L256" s="8"/>
    </row>
    <row r="257" spans="1:12">
      <c r="A257" s="57"/>
      <c r="B257" s="57"/>
      <c r="C257" s="57"/>
      <c r="D257" s="20"/>
      <c r="E257" s="20"/>
      <c r="F257" s="20"/>
      <c r="G257" s="20"/>
      <c r="H257" s="20"/>
      <c r="I257" s="20"/>
      <c r="J257" s="20"/>
      <c r="K257" s="8"/>
      <c r="L257" s="8"/>
    </row>
    <row r="258" spans="1:12" ht="16.5" thickBot="1">
      <c r="A258" s="57"/>
      <c r="B258" s="57"/>
      <c r="C258" s="57" t="s">
        <v>10</v>
      </c>
      <c r="D258" s="31">
        <f t="shared" ref="D258:I258" si="40">SUM(D252:D257)</f>
        <v>124658.24000000001</v>
      </c>
      <c r="E258" s="31">
        <f t="shared" si="40"/>
        <v>292.98</v>
      </c>
      <c r="F258" s="31">
        <f t="shared" si="40"/>
        <v>299.29000000000002</v>
      </c>
      <c r="G258" s="31">
        <f t="shared" si="40"/>
        <v>0</v>
      </c>
      <c r="H258" s="31">
        <f t="shared" si="40"/>
        <v>0</v>
      </c>
      <c r="I258" s="31">
        <f t="shared" si="40"/>
        <v>0</v>
      </c>
      <c r="J258" s="31">
        <f>SUM(D258:I258)</f>
        <v>125250.51</v>
      </c>
      <c r="K258" s="8"/>
      <c r="L258" s="8"/>
    </row>
    <row r="259" spans="1:12" ht="16.5" thickTop="1">
      <c r="A259" s="57"/>
      <c r="B259" s="57"/>
      <c r="C259" s="57"/>
      <c r="D259" s="20"/>
      <c r="E259" s="20"/>
      <c r="F259" s="20"/>
      <c r="G259" s="20"/>
      <c r="H259" s="20"/>
      <c r="I259" s="20"/>
      <c r="J259" s="20"/>
      <c r="K259" s="8"/>
      <c r="L259" s="8"/>
    </row>
    <row r="260" spans="1:12">
      <c r="A260" s="57"/>
      <c r="B260" s="57"/>
      <c r="C260" s="57"/>
      <c r="D260" s="20"/>
      <c r="E260" s="20"/>
      <c r="F260" s="20"/>
      <c r="G260" s="20"/>
      <c r="H260" s="20"/>
      <c r="I260" s="20"/>
      <c r="J260" s="20"/>
      <c r="K260" s="8"/>
      <c r="L260" s="8"/>
    </row>
    <row r="261" spans="1:12">
      <c r="A261" s="57">
        <v>61</v>
      </c>
      <c r="B261" s="57" t="s">
        <v>56</v>
      </c>
      <c r="C261" s="57" t="s">
        <v>12</v>
      </c>
      <c r="D261" s="39">
        <v>23410.799999999999</v>
      </c>
      <c r="E261" s="20">
        <v>37.07</v>
      </c>
      <c r="F261" s="20">
        <v>0</v>
      </c>
      <c r="G261" s="20">
        <v>0</v>
      </c>
      <c r="H261" s="20">
        <v>0</v>
      </c>
      <c r="I261" s="20">
        <v>0</v>
      </c>
      <c r="J261" s="20">
        <f>SUM(D261:I261)</f>
        <v>23447.87</v>
      </c>
      <c r="K261" s="8"/>
      <c r="L261" s="8"/>
    </row>
    <row r="262" spans="1:12" ht="16.5" thickBot="1">
      <c r="A262" s="57"/>
      <c r="B262" s="57"/>
      <c r="C262" s="57" t="s">
        <v>13</v>
      </c>
      <c r="D262" s="29">
        <v>2601.1999999999998</v>
      </c>
      <c r="E262" s="29">
        <v>5.4</v>
      </c>
      <c r="F262" s="29">
        <v>0</v>
      </c>
      <c r="G262" s="29">
        <v>0</v>
      </c>
      <c r="H262" s="29">
        <v>0</v>
      </c>
      <c r="I262" s="29">
        <v>0</v>
      </c>
      <c r="J262" s="29">
        <f>SUM(D262:I262)</f>
        <v>2606.6</v>
      </c>
      <c r="K262" s="8"/>
      <c r="L262" s="8"/>
    </row>
    <row r="263" spans="1:12" ht="16.5" hidden="1" thickBot="1">
      <c r="A263" s="57"/>
      <c r="B263" s="57"/>
      <c r="C263" s="57" t="s">
        <v>99</v>
      </c>
      <c r="D263" s="29">
        <v>0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29">
        <f>SUM(D263:I263)</f>
        <v>0</v>
      </c>
      <c r="K263" s="8"/>
      <c r="L263" s="8"/>
    </row>
    <row r="264" spans="1:12">
      <c r="A264" s="57"/>
      <c r="B264" s="57"/>
      <c r="C264" s="57"/>
      <c r="D264" s="20"/>
      <c r="E264" s="20"/>
      <c r="F264" s="20"/>
      <c r="G264" s="20"/>
      <c r="H264" s="20"/>
      <c r="I264" s="20"/>
      <c r="J264" s="20"/>
      <c r="K264" s="8"/>
      <c r="L264" s="8"/>
    </row>
    <row r="265" spans="1:12" ht="16.5" thickBot="1">
      <c r="A265" s="57"/>
      <c r="B265" s="57"/>
      <c r="C265" s="57" t="s">
        <v>10</v>
      </c>
      <c r="D265" s="31">
        <f>SUM(D261:D263)</f>
        <v>26012</v>
      </c>
      <c r="E265" s="31">
        <f t="shared" ref="E265:J265" si="41">SUM(E261:E263)</f>
        <v>42.47</v>
      </c>
      <c r="F265" s="31">
        <f t="shared" si="41"/>
        <v>0</v>
      </c>
      <c r="G265" s="31">
        <f t="shared" si="41"/>
        <v>0</v>
      </c>
      <c r="H265" s="31">
        <f t="shared" si="41"/>
        <v>0</v>
      </c>
      <c r="I265" s="31">
        <f t="shared" si="41"/>
        <v>0</v>
      </c>
      <c r="J265" s="31">
        <f t="shared" si="41"/>
        <v>26054.469999999998</v>
      </c>
      <c r="K265" s="8"/>
      <c r="L265" s="8"/>
    </row>
    <row r="266" spans="1:12" ht="16.5" thickTop="1">
      <c r="A266" s="57"/>
      <c r="B266" s="57"/>
      <c r="C266" s="57"/>
      <c r="D266" s="20"/>
      <c r="E266" s="20"/>
      <c r="F266" s="20"/>
      <c r="G266" s="20"/>
      <c r="H266" s="20"/>
      <c r="I266" s="20"/>
      <c r="J266" s="20"/>
      <c r="K266" s="8"/>
      <c r="L266" s="8"/>
    </row>
    <row r="267" spans="1:12">
      <c r="A267" s="57"/>
      <c r="B267" s="57"/>
      <c r="C267" s="57"/>
      <c r="D267" s="20"/>
      <c r="E267" s="20"/>
      <c r="F267" s="20"/>
      <c r="G267" s="20"/>
      <c r="H267" s="20"/>
      <c r="I267" s="20"/>
      <c r="J267" s="20"/>
      <c r="K267" s="8"/>
      <c r="L267" s="8"/>
    </row>
    <row r="268" spans="1:12">
      <c r="A268" s="57">
        <v>62</v>
      </c>
      <c r="B268" s="57" t="s">
        <v>57</v>
      </c>
      <c r="C268" s="57" t="s">
        <v>12</v>
      </c>
      <c r="D268" s="20">
        <v>14390.25</v>
      </c>
      <c r="E268" s="20">
        <v>0</v>
      </c>
      <c r="F268" s="20">
        <v>0</v>
      </c>
      <c r="G268" s="20">
        <v>0</v>
      </c>
      <c r="H268" s="20">
        <v>0</v>
      </c>
      <c r="I268" s="20">
        <v>0</v>
      </c>
      <c r="J268" s="20">
        <f>SUM(D268:I268)</f>
        <v>14390.25</v>
      </c>
      <c r="K268" s="8"/>
      <c r="L268" s="8"/>
    </row>
    <row r="269" spans="1:12" ht="16.5" thickBot="1">
      <c r="A269" s="57"/>
      <c r="B269" s="57"/>
      <c r="C269" s="57" t="s">
        <v>13</v>
      </c>
      <c r="D269" s="29">
        <v>1598.92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29">
        <f>SUM(D269:I269)</f>
        <v>1598.92</v>
      </c>
      <c r="K269" s="8"/>
      <c r="L269" s="8"/>
    </row>
    <row r="270" spans="1:12">
      <c r="A270" s="57"/>
      <c r="B270" s="57"/>
      <c r="C270" s="57"/>
      <c r="D270" s="20"/>
      <c r="E270" s="20"/>
      <c r="F270" s="20"/>
      <c r="G270" s="20"/>
      <c r="H270" s="20"/>
      <c r="I270" s="20"/>
      <c r="J270" s="20"/>
      <c r="K270" s="8"/>
      <c r="L270" s="8"/>
    </row>
    <row r="271" spans="1:12" ht="16.5" thickBot="1">
      <c r="A271" s="57"/>
      <c r="B271" s="57"/>
      <c r="C271" s="57" t="s">
        <v>10</v>
      </c>
      <c r="D271" s="31">
        <f t="shared" ref="D271:I271" si="42">SUM(D268:D269)</f>
        <v>15989.17</v>
      </c>
      <c r="E271" s="31">
        <f t="shared" si="42"/>
        <v>0</v>
      </c>
      <c r="F271" s="31">
        <f t="shared" si="42"/>
        <v>0</v>
      </c>
      <c r="G271" s="31">
        <f t="shared" si="42"/>
        <v>0</v>
      </c>
      <c r="H271" s="31">
        <f t="shared" si="42"/>
        <v>0</v>
      </c>
      <c r="I271" s="31">
        <f t="shared" si="42"/>
        <v>0</v>
      </c>
      <c r="J271" s="31">
        <f>SUM(D271:I271)</f>
        <v>15989.17</v>
      </c>
      <c r="K271" s="8"/>
      <c r="L271" s="8"/>
    </row>
    <row r="272" spans="1:12" ht="16.5" thickTop="1">
      <c r="A272" s="57"/>
      <c r="B272" s="57"/>
      <c r="C272" s="57"/>
      <c r="D272" s="20"/>
      <c r="E272" s="20"/>
      <c r="F272" s="20"/>
      <c r="G272" s="20"/>
      <c r="H272" s="20"/>
      <c r="I272" s="20"/>
      <c r="J272" s="20"/>
      <c r="K272" s="8"/>
      <c r="L272" s="8"/>
    </row>
    <row r="273" spans="1:12">
      <c r="A273" s="57"/>
      <c r="B273" s="57"/>
      <c r="C273" s="57"/>
      <c r="D273" s="20"/>
      <c r="E273" s="20"/>
      <c r="F273" s="20"/>
      <c r="G273" s="20"/>
      <c r="H273" s="20"/>
      <c r="I273" s="20"/>
      <c r="J273" s="20"/>
      <c r="K273" s="8"/>
      <c r="L273" s="8"/>
    </row>
    <row r="274" spans="1:12">
      <c r="A274" s="57">
        <v>63</v>
      </c>
      <c r="B274" s="57" t="s">
        <v>58</v>
      </c>
      <c r="C274" s="57" t="s">
        <v>12</v>
      </c>
      <c r="D274" s="20">
        <v>16790.310000000001</v>
      </c>
      <c r="E274" s="20">
        <v>272.64</v>
      </c>
      <c r="F274" s="20">
        <v>82.27</v>
      </c>
      <c r="G274" s="20">
        <v>0</v>
      </c>
      <c r="H274" s="20">
        <v>0</v>
      </c>
      <c r="I274" s="20">
        <v>0</v>
      </c>
      <c r="J274" s="20">
        <f>SUM(D274:I274)</f>
        <v>17145.22</v>
      </c>
      <c r="K274" s="8"/>
      <c r="L274" s="8"/>
    </row>
    <row r="275" spans="1:12" ht="16.5" thickBot="1">
      <c r="A275" s="57"/>
      <c r="B275" s="57"/>
      <c r="C275" s="57" t="s">
        <v>13</v>
      </c>
      <c r="D275" s="29">
        <v>662.42</v>
      </c>
      <c r="E275" s="29">
        <v>10.39</v>
      </c>
      <c r="F275" s="29">
        <v>2.88</v>
      </c>
      <c r="G275" s="29">
        <v>0</v>
      </c>
      <c r="H275" s="29">
        <v>0</v>
      </c>
      <c r="I275" s="29">
        <v>0</v>
      </c>
      <c r="J275" s="29">
        <f>SUM(D275:I275)</f>
        <v>675.68999999999994</v>
      </c>
      <c r="K275" s="8"/>
      <c r="L275" s="8"/>
    </row>
    <row r="276" spans="1:12">
      <c r="A276" s="57"/>
      <c r="B276" s="57"/>
      <c r="C276" s="57"/>
      <c r="D276" s="20"/>
      <c r="E276" s="20"/>
      <c r="F276" s="20"/>
      <c r="G276" s="20"/>
      <c r="H276" s="20"/>
      <c r="I276" s="20"/>
      <c r="J276" s="20"/>
      <c r="K276" s="8"/>
      <c r="L276" s="8"/>
    </row>
    <row r="277" spans="1:12" ht="16.5" thickBot="1">
      <c r="A277" s="57"/>
      <c r="B277" s="57"/>
      <c r="C277" s="57" t="s">
        <v>10</v>
      </c>
      <c r="D277" s="31">
        <f t="shared" ref="D277:I277" si="43">SUM(D274:D275)</f>
        <v>17452.73</v>
      </c>
      <c r="E277" s="31">
        <f t="shared" si="43"/>
        <v>283.02999999999997</v>
      </c>
      <c r="F277" s="31">
        <f t="shared" si="43"/>
        <v>85.149999999999991</v>
      </c>
      <c r="G277" s="31">
        <f t="shared" si="43"/>
        <v>0</v>
      </c>
      <c r="H277" s="31">
        <f t="shared" si="43"/>
        <v>0</v>
      </c>
      <c r="I277" s="31">
        <f t="shared" si="43"/>
        <v>0</v>
      </c>
      <c r="J277" s="31">
        <f>SUM(D277:I277)</f>
        <v>17820.91</v>
      </c>
      <c r="K277" s="8"/>
      <c r="L277" s="8"/>
    </row>
    <row r="278" spans="1:12" ht="16.5" thickTop="1">
      <c r="A278" s="57"/>
      <c r="B278" s="57"/>
      <c r="C278" s="57"/>
      <c r="D278" s="20"/>
      <c r="E278" s="20"/>
      <c r="F278" s="20"/>
      <c r="G278" s="20"/>
      <c r="H278" s="20"/>
      <c r="I278" s="20"/>
      <c r="J278" s="20"/>
      <c r="K278" s="8"/>
      <c r="L278" s="8"/>
    </row>
    <row r="279" spans="1:12">
      <c r="A279" s="57"/>
      <c r="B279" s="57"/>
      <c r="C279" s="57"/>
      <c r="D279" s="20"/>
      <c r="E279" s="20"/>
      <c r="F279" s="20"/>
      <c r="G279" s="20"/>
      <c r="H279" s="20"/>
      <c r="I279" s="20"/>
      <c r="J279" s="20"/>
      <c r="K279" s="8"/>
      <c r="L279" s="8"/>
    </row>
    <row r="280" spans="1:12" ht="16.5" thickBot="1">
      <c r="A280" s="57">
        <v>64</v>
      </c>
      <c r="B280" s="57" t="s">
        <v>59</v>
      </c>
      <c r="C280" s="57" t="s">
        <v>12</v>
      </c>
      <c r="D280" s="50">
        <v>94464.29</v>
      </c>
      <c r="E280" s="29">
        <v>304.35000000000002</v>
      </c>
      <c r="F280" s="29">
        <v>34.85</v>
      </c>
      <c r="G280" s="29">
        <v>0</v>
      </c>
      <c r="H280" s="29">
        <v>0</v>
      </c>
      <c r="I280" s="29">
        <v>0</v>
      </c>
      <c r="J280" s="29">
        <f>SUM(D280:I280)</f>
        <v>94803.49</v>
      </c>
      <c r="K280" s="8"/>
      <c r="L280" s="8"/>
    </row>
    <row r="281" spans="1:12">
      <c r="A281" s="57"/>
      <c r="B281" s="57"/>
      <c r="C281" s="57"/>
      <c r="D281" s="20"/>
      <c r="E281" s="20"/>
      <c r="F281" s="20"/>
      <c r="G281" s="20"/>
      <c r="H281" s="20"/>
      <c r="I281" s="20"/>
      <c r="J281" s="20"/>
      <c r="K281" s="8"/>
      <c r="L281" s="8"/>
    </row>
    <row r="282" spans="1:12" ht="16.5" thickBot="1">
      <c r="A282" s="57"/>
      <c r="B282" s="57"/>
      <c r="C282" s="57" t="s">
        <v>10</v>
      </c>
      <c r="D282" s="31">
        <f t="shared" ref="D282:I282" si="44">SUM(D280:D281)</f>
        <v>94464.29</v>
      </c>
      <c r="E282" s="31">
        <f t="shared" si="44"/>
        <v>304.35000000000002</v>
      </c>
      <c r="F282" s="31">
        <f t="shared" si="44"/>
        <v>34.85</v>
      </c>
      <c r="G282" s="31">
        <f t="shared" si="44"/>
        <v>0</v>
      </c>
      <c r="H282" s="31">
        <f t="shared" si="44"/>
        <v>0</v>
      </c>
      <c r="I282" s="31">
        <f t="shared" si="44"/>
        <v>0</v>
      </c>
      <c r="J282" s="31">
        <f>SUM(D282:I282)</f>
        <v>94803.49</v>
      </c>
      <c r="K282" s="8"/>
      <c r="L282" s="8"/>
    </row>
    <row r="283" spans="1:12" ht="16.5" thickTop="1">
      <c r="A283" s="57"/>
      <c r="B283" s="57"/>
      <c r="C283" s="57"/>
      <c r="D283" s="20"/>
      <c r="E283" s="20"/>
      <c r="F283" s="20"/>
      <c r="G283" s="20"/>
      <c r="H283" s="20"/>
      <c r="I283" s="20"/>
      <c r="J283" s="20"/>
      <c r="K283" s="8"/>
      <c r="L283" s="8"/>
    </row>
    <row r="284" spans="1:12">
      <c r="A284" s="57"/>
      <c r="B284" s="59"/>
      <c r="C284" s="59"/>
      <c r="D284" s="36"/>
      <c r="E284" s="36"/>
      <c r="F284" s="36"/>
      <c r="G284" s="22"/>
      <c r="H284" s="22"/>
      <c r="I284" s="22"/>
      <c r="J284" s="20"/>
      <c r="K284" s="8"/>
      <c r="L284" s="8"/>
    </row>
    <row r="285" spans="1:12" ht="16.5" thickBot="1">
      <c r="A285" s="57">
        <v>65</v>
      </c>
      <c r="B285" s="57" t="s">
        <v>60</v>
      </c>
      <c r="C285" s="57" t="s">
        <v>12</v>
      </c>
      <c r="D285" s="29">
        <v>22995.69</v>
      </c>
      <c r="E285" s="29">
        <v>35.159999999999997</v>
      </c>
      <c r="F285" s="29">
        <v>0</v>
      </c>
      <c r="G285" s="29">
        <v>0</v>
      </c>
      <c r="H285" s="29">
        <v>0</v>
      </c>
      <c r="I285" s="29">
        <v>0</v>
      </c>
      <c r="J285" s="29">
        <f>SUM(D285:I285)</f>
        <v>23030.85</v>
      </c>
      <c r="K285" s="8"/>
      <c r="L285" s="8"/>
    </row>
    <row r="286" spans="1:12" ht="16.5" hidden="1" thickBot="1">
      <c r="A286" s="57"/>
      <c r="B286" s="57"/>
      <c r="C286" s="57" t="s">
        <v>13</v>
      </c>
      <c r="D286" s="29"/>
      <c r="E286" s="29"/>
      <c r="F286" s="29"/>
      <c r="G286" s="29"/>
      <c r="H286" s="29"/>
      <c r="I286" s="29"/>
      <c r="J286" s="29"/>
      <c r="K286" s="8"/>
      <c r="L286" s="8"/>
    </row>
    <row r="287" spans="1:12">
      <c r="A287" s="57"/>
      <c r="B287" s="57"/>
      <c r="C287" s="57"/>
      <c r="D287" s="20"/>
      <c r="E287" s="20"/>
      <c r="F287" s="20"/>
      <c r="G287" s="20"/>
      <c r="H287" s="20"/>
      <c r="I287" s="20"/>
      <c r="J287" s="20"/>
      <c r="K287" s="8"/>
      <c r="L287" s="8"/>
    </row>
    <row r="288" spans="1:12" ht="16.5" thickBot="1">
      <c r="A288" s="57"/>
      <c r="B288" s="57"/>
      <c r="C288" s="57" t="s">
        <v>10</v>
      </c>
      <c r="D288" s="31">
        <f t="shared" ref="D288:I288" si="45">SUM(D285:D286)</f>
        <v>22995.69</v>
      </c>
      <c r="E288" s="31">
        <f t="shared" si="45"/>
        <v>35.159999999999997</v>
      </c>
      <c r="F288" s="31">
        <f t="shared" si="45"/>
        <v>0</v>
      </c>
      <c r="G288" s="31">
        <f t="shared" si="45"/>
        <v>0</v>
      </c>
      <c r="H288" s="31">
        <f t="shared" si="45"/>
        <v>0</v>
      </c>
      <c r="I288" s="31">
        <f t="shared" si="45"/>
        <v>0</v>
      </c>
      <c r="J288" s="31">
        <f>SUM(D288:I288)</f>
        <v>23030.85</v>
      </c>
      <c r="K288" s="8"/>
      <c r="L288" s="8"/>
    </row>
    <row r="289" spans="1:12" ht="16.5" thickTop="1">
      <c r="A289" s="57"/>
      <c r="B289" s="57"/>
      <c r="C289" s="57"/>
      <c r="D289" s="20"/>
      <c r="E289" s="20"/>
      <c r="F289" s="20"/>
      <c r="G289" s="20"/>
      <c r="H289" s="20"/>
      <c r="I289" s="20"/>
      <c r="J289" s="20"/>
      <c r="K289" s="8"/>
      <c r="L289" s="8"/>
    </row>
    <row r="290" spans="1:12">
      <c r="A290" s="57"/>
      <c r="B290" s="57"/>
      <c r="C290" s="57"/>
      <c r="D290" s="20"/>
      <c r="E290" s="20"/>
      <c r="F290" s="20"/>
      <c r="G290" s="20"/>
      <c r="H290" s="20"/>
      <c r="I290" s="20"/>
      <c r="J290" s="20"/>
      <c r="K290" s="8"/>
      <c r="L290" s="8"/>
    </row>
    <row r="291" spans="1:12">
      <c r="A291" s="57">
        <v>66</v>
      </c>
      <c r="B291" s="57" t="s">
        <v>61</v>
      </c>
      <c r="C291" s="57" t="s">
        <v>12</v>
      </c>
      <c r="D291" s="20">
        <v>24831.97</v>
      </c>
      <c r="E291" s="20">
        <v>762.99</v>
      </c>
      <c r="F291" s="20">
        <v>135.69</v>
      </c>
      <c r="G291" s="20">
        <v>0</v>
      </c>
      <c r="H291" s="20">
        <v>0</v>
      </c>
      <c r="I291" s="20">
        <v>0</v>
      </c>
      <c r="J291" s="20">
        <f>SUM(D291:I291)</f>
        <v>25730.65</v>
      </c>
      <c r="K291" s="8"/>
      <c r="L291" s="8"/>
    </row>
    <row r="292" spans="1:12" hidden="1">
      <c r="A292" s="57"/>
      <c r="B292" s="57"/>
      <c r="C292" s="57" t="s">
        <v>35</v>
      </c>
      <c r="D292" s="20"/>
      <c r="E292" s="20"/>
      <c r="F292" s="20"/>
      <c r="G292" s="20">
        <v>0</v>
      </c>
      <c r="H292" s="20">
        <v>0</v>
      </c>
      <c r="I292" s="20">
        <v>0</v>
      </c>
      <c r="J292" s="20">
        <f>SUM(D292:I292)</f>
        <v>0</v>
      </c>
      <c r="K292" s="8"/>
      <c r="L292" s="8"/>
    </row>
    <row r="293" spans="1:12" hidden="1">
      <c r="A293" s="57"/>
      <c r="B293" s="57"/>
      <c r="C293" s="57" t="s">
        <v>73</v>
      </c>
      <c r="D293" s="20"/>
      <c r="E293" s="20"/>
      <c r="F293" s="20"/>
      <c r="G293" s="20">
        <v>0</v>
      </c>
      <c r="H293" s="20">
        <v>0</v>
      </c>
      <c r="I293" s="20">
        <v>0</v>
      </c>
      <c r="J293" s="20">
        <f>SUM(D293:I293)</f>
        <v>0</v>
      </c>
      <c r="K293" s="8"/>
      <c r="L293" s="8"/>
    </row>
    <row r="294" spans="1:12" ht="16.5" thickBot="1">
      <c r="A294" s="57"/>
      <c r="B294" s="57"/>
      <c r="C294" s="57"/>
      <c r="D294" s="29"/>
      <c r="E294" s="29"/>
      <c r="F294" s="29"/>
      <c r="G294" s="29">
        <v>0</v>
      </c>
      <c r="H294" s="29">
        <v>0</v>
      </c>
      <c r="I294" s="29">
        <v>0</v>
      </c>
      <c r="J294" s="29">
        <f>SUM(D294:I294)</f>
        <v>0</v>
      </c>
      <c r="K294" s="8"/>
      <c r="L294" s="8"/>
    </row>
    <row r="295" spans="1:12">
      <c r="A295" s="57"/>
      <c r="B295" s="57"/>
      <c r="C295" s="57"/>
      <c r="D295" s="20"/>
      <c r="E295" s="20"/>
      <c r="F295" s="20"/>
      <c r="G295" s="20"/>
      <c r="H295" s="20"/>
      <c r="I295" s="20"/>
      <c r="J295" s="20"/>
      <c r="K295" s="8"/>
      <c r="L295" s="8"/>
    </row>
    <row r="296" spans="1:12" ht="16.5" thickBot="1">
      <c r="A296" s="57"/>
      <c r="B296" s="57"/>
      <c r="C296" s="57" t="s">
        <v>10</v>
      </c>
      <c r="D296" s="31">
        <f t="shared" ref="D296:I296" si="46">SUM(D291:D294)</f>
        <v>24831.97</v>
      </c>
      <c r="E296" s="31">
        <f t="shared" si="46"/>
        <v>762.99</v>
      </c>
      <c r="F296" s="31">
        <f t="shared" si="46"/>
        <v>135.69</v>
      </c>
      <c r="G296" s="31">
        <f t="shared" si="46"/>
        <v>0</v>
      </c>
      <c r="H296" s="31">
        <f t="shared" si="46"/>
        <v>0</v>
      </c>
      <c r="I296" s="31">
        <f t="shared" si="46"/>
        <v>0</v>
      </c>
      <c r="J296" s="31">
        <f>SUM(D296:I296)</f>
        <v>25730.65</v>
      </c>
      <c r="K296" s="8"/>
      <c r="L296" s="8"/>
    </row>
    <row r="297" spans="1:12" ht="16.5" thickTop="1">
      <c r="A297" s="57"/>
      <c r="B297" s="57"/>
      <c r="C297" s="57"/>
      <c r="D297" s="20"/>
      <c r="E297" s="20"/>
      <c r="F297" s="20"/>
      <c r="G297" s="20"/>
      <c r="H297" s="20"/>
      <c r="I297" s="20"/>
      <c r="J297" s="20"/>
      <c r="K297" s="8"/>
      <c r="L297" s="8"/>
    </row>
    <row r="298" spans="1:12">
      <c r="A298" s="57"/>
      <c r="B298" s="57"/>
      <c r="C298" s="57"/>
      <c r="D298" s="20"/>
      <c r="E298" s="20"/>
      <c r="F298" s="20"/>
      <c r="G298" s="20"/>
      <c r="H298" s="20"/>
      <c r="I298" s="20"/>
      <c r="J298" s="20"/>
      <c r="K298" s="8"/>
      <c r="L298" s="8"/>
    </row>
    <row r="299" spans="1:12">
      <c r="A299" s="57">
        <v>67</v>
      </c>
      <c r="B299" s="57" t="s">
        <v>62</v>
      </c>
      <c r="C299" s="57" t="s">
        <v>12</v>
      </c>
      <c r="D299" s="20">
        <v>55391.5</v>
      </c>
      <c r="E299" s="20">
        <v>786.93</v>
      </c>
      <c r="F299" s="20">
        <v>383.68</v>
      </c>
      <c r="G299" s="20">
        <v>0</v>
      </c>
      <c r="H299" s="20">
        <v>0</v>
      </c>
      <c r="I299" s="20">
        <v>0</v>
      </c>
      <c r="J299" s="20">
        <f>SUM(D299:I299)</f>
        <v>56562.11</v>
      </c>
      <c r="K299" s="8"/>
      <c r="L299" s="8"/>
    </row>
    <row r="300" spans="1:12" ht="16.5" thickBot="1">
      <c r="A300" s="57"/>
      <c r="B300" s="57"/>
      <c r="C300" s="57" t="s">
        <v>13</v>
      </c>
      <c r="D300" s="29">
        <v>507.76</v>
      </c>
      <c r="E300" s="29">
        <v>9.1</v>
      </c>
      <c r="F300" s="29">
        <v>4.53</v>
      </c>
      <c r="G300" s="29">
        <v>0</v>
      </c>
      <c r="H300" s="29">
        <v>0</v>
      </c>
      <c r="I300" s="29">
        <v>0</v>
      </c>
      <c r="J300" s="29">
        <f>SUM(D300:I300)</f>
        <v>521.39</v>
      </c>
      <c r="K300" s="8"/>
      <c r="L300" s="8"/>
    </row>
    <row r="301" spans="1:12">
      <c r="A301" s="57"/>
      <c r="B301" s="57"/>
      <c r="C301" s="57"/>
      <c r="D301" s="20"/>
      <c r="E301" s="20"/>
      <c r="F301" s="20"/>
      <c r="G301" s="20"/>
      <c r="H301" s="20"/>
      <c r="I301" s="20"/>
      <c r="J301" s="20"/>
      <c r="K301" s="8"/>
      <c r="L301" s="8"/>
    </row>
    <row r="302" spans="1:12" ht="16.5" thickBot="1">
      <c r="A302" s="57"/>
      <c r="B302" s="57"/>
      <c r="C302" s="57" t="s">
        <v>10</v>
      </c>
      <c r="D302" s="31">
        <f t="shared" ref="D302:I302" si="47">SUM(D299:D300)</f>
        <v>55899.26</v>
      </c>
      <c r="E302" s="31">
        <f t="shared" si="47"/>
        <v>796.03</v>
      </c>
      <c r="F302" s="31">
        <f t="shared" si="47"/>
        <v>388.21</v>
      </c>
      <c r="G302" s="31">
        <f t="shared" si="47"/>
        <v>0</v>
      </c>
      <c r="H302" s="31">
        <f t="shared" si="47"/>
        <v>0</v>
      </c>
      <c r="I302" s="31">
        <f t="shared" si="47"/>
        <v>0</v>
      </c>
      <c r="J302" s="31">
        <f>SUM(D302:I302)</f>
        <v>57083.5</v>
      </c>
      <c r="K302" s="8"/>
      <c r="L302" s="8"/>
    </row>
    <row r="303" spans="1:12" ht="16.5" thickTop="1">
      <c r="A303" s="57"/>
      <c r="B303" s="57"/>
      <c r="C303" s="57"/>
      <c r="D303" s="20"/>
      <c r="E303" s="20"/>
      <c r="F303" s="20"/>
      <c r="G303" s="20"/>
      <c r="H303" s="20"/>
      <c r="I303" s="20"/>
      <c r="J303" s="20"/>
      <c r="K303" s="8"/>
      <c r="L303" s="8"/>
    </row>
    <row r="304" spans="1:12">
      <c r="A304" s="57"/>
      <c r="B304" s="57"/>
      <c r="C304" s="57"/>
      <c r="D304" s="20"/>
      <c r="E304" s="20"/>
      <c r="F304" s="20"/>
      <c r="G304" s="20"/>
      <c r="H304" s="20"/>
      <c r="I304" s="20"/>
      <c r="J304" s="20"/>
      <c r="K304" s="8"/>
      <c r="L304" s="8"/>
    </row>
    <row r="305" spans="1:12">
      <c r="A305" s="57">
        <v>68</v>
      </c>
      <c r="B305" s="57" t="s">
        <v>63</v>
      </c>
      <c r="C305" s="57" t="s">
        <v>12</v>
      </c>
      <c r="D305" s="25">
        <v>23446.34</v>
      </c>
      <c r="E305" s="25">
        <v>87.05</v>
      </c>
      <c r="F305" s="25">
        <v>43.06</v>
      </c>
      <c r="G305" s="25">
        <v>0</v>
      </c>
      <c r="H305" s="25">
        <v>0</v>
      </c>
      <c r="I305" s="25">
        <v>0</v>
      </c>
      <c r="J305" s="25">
        <f>SUM(D305:I305)</f>
        <v>23576.45</v>
      </c>
      <c r="K305" s="8"/>
      <c r="L305" s="8"/>
    </row>
    <row r="306" spans="1:12" ht="16.5" hidden="1" thickBot="1">
      <c r="A306" s="57"/>
      <c r="B306" s="57"/>
      <c r="C306" s="57" t="s">
        <v>13</v>
      </c>
      <c r="D306" s="29"/>
      <c r="E306" s="29"/>
      <c r="F306" s="29"/>
      <c r="G306" s="29"/>
      <c r="H306" s="29"/>
      <c r="I306" s="29"/>
      <c r="J306" s="29"/>
      <c r="K306" s="8"/>
      <c r="L306" s="8"/>
    </row>
    <row r="307" spans="1:12">
      <c r="A307" s="57"/>
      <c r="B307" s="57"/>
      <c r="C307" s="57"/>
      <c r="D307" s="20"/>
      <c r="E307" s="20"/>
      <c r="F307" s="20"/>
      <c r="G307" s="20"/>
      <c r="H307" s="20"/>
      <c r="I307" s="20"/>
      <c r="J307" s="20"/>
      <c r="K307" s="8"/>
      <c r="L307" s="8"/>
    </row>
    <row r="308" spans="1:12" ht="16.5" thickBot="1">
      <c r="A308" s="57"/>
      <c r="B308" s="57"/>
      <c r="C308" s="57" t="s">
        <v>10</v>
      </c>
      <c r="D308" s="31">
        <f t="shared" ref="D308:I308" si="48">SUM(D305:D306)</f>
        <v>23446.34</v>
      </c>
      <c r="E308" s="31">
        <f t="shared" si="48"/>
        <v>87.05</v>
      </c>
      <c r="F308" s="31">
        <f t="shared" si="48"/>
        <v>43.06</v>
      </c>
      <c r="G308" s="31">
        <f t="shared" si="48"/>
        <v>0</v>
      </c>
      <c r="H308" s="31">
        <f t="shared" si="48"/>
        <v>0</v>
      </c>
      <c r="I308" s="31">
        <f t="shared" si="48"/>
        <v>0</v>
      </c>
      <c r="J308" s="31">
        <f>SUM(D308:I308)</f>
        <v>23576.45</v>
      </c>
      <c r="K308" s="8"/>
      <c r="L308" s="8"/>
    </row>
    <row r="309" spans="1:12" ht="16.5" thickTop="1">
      <c r="A309" s="57"/>
      <c r="B309" s="57"/>
      <c r="C309" s="57"/>
      <c r="D309" s="20"/>
      <c r="E309" s="20"/>
      <c r="F309" s="20"/>
      <c r="G309" s="20"/>
      <c r="H309" s="20"/>
      <c r="I309" s="20"/>
      <c r="J309" s="20"/>
      <c r="K309" s="8"/>
      <c r="L309" s="8"/>
    </row>
    <row r="310" spans="1:12">
      <c r="A310" s="57"/>
      <c r="B310" s="57"/>
      <c r="C310" s="57"/>
      <c r="D310" s="20"/>
      <c r="E310" s="20"/>
      <c r="F310" s="20"/>
      <c r="G310" s="20"/>
      <c r="H310" s="20"/>
      <c r="I310" s="20"/>
      <c r="J310" s="20"/>
      <c r="K310" s="8"/>
      <c r="L310" s="8"/>
    </row>
    <row r="311" spans="1:12">
      <c r="A311" s="57">
        <v>69</v>
      </c>
      <c r="B311" s="57" t="s">
        <v>64</v>
      </c>
      <c r="C311" s="57" t="s">
        <v>12</v>
      </c>
      <c r="D311" s="25">
        <v>25499.040000000001</v>
      </c>
      <c r="E311" s="25">
        <v>47.93</v>
      </c>
      <c r="F311" s="25">
        <v>4.5999999999999996</v>
      </c>
      <c r="G311" s="25">
        <v>0</v>
      </c>
      <c r="H311" s="25">
        <v>0</v>
      </c>
      <c r="I311" s="25">
        <v>0</v>
      </c>
      <c r="J311" s="25">
        <f>SUM(D311:I311)</f>
        <v>25551.57</v>
      </c>
      <c r="K311" s="8"/>
      <c r="L311" s="8"/>
    </row>
    <row r="312" spans="1:12" ht="16.5" hidden="1" thickBot="1">
      <c r="A312" s="57"/>
      <c r="B312" s="57"/>
      <c r="C312" s="57" t="s">
        <v>13</v>
      </c>
      <c r="D312" s="29"/>
      <c r="E312" s="29"/>
      <c r="F312" s="29"/>
      <c r="G312" s="29"/>
      <c r="H312" s="29"/>
      <c r="I312" s="29"/>
      <c r="J312" s="29">
        <v>0</v>
      </c>
      <c r="K312" s="8"/>
      <c r="L312" s="8"/>
    </row>
    <row r="313" spans="1:12">
      <c r="A313" s="57"/>
      <c r="B313" s="57"/>
      <c r="C313" s="57"/>
      <c r="D313" s="20"/>
      <c r="E313" s="20"/>
      <c r="F313" s="20"/>
      <c r="G313" s="20"/>
      <c r="H313" s="20"/>
      <c r="I313" s="20"/>
      <c r="J313" s="20"/>
      <c r="K313" s="8"/>
      <c r="L313" s="8"/>
    </row>
    <row r="314" spans="1:12" ht="16.5" thickBot="1">
      <c r="A314" s="57"/>
      <c r="B314" s="57"/>
      <c r="C314" s="57" t="s">
        <v>10</v>
      </c>
      <c r="D314" s="31">
        <f t="shared" ref="D314:I314" si="49">SUM(D311:D312)</f>
        <v>25499.040000000001</v>
      </c>
      <c r="E314" s="31">
        <f t="shared" si="49"/>
        <v>47.93</v>
      </c>
      <c r="F314" s="31">
        <f t="shared" si="49"/>
        <v>4.5999999999999996</v>
      </c>
      <c r="G314" s="31">
        <f t="shared" si="49"/>
        <v>0</v>
      </c>
      <c r="H314" s="31">
        <f t="shared" si="49"/>
        <v>0</v>
      </c>
      <c r="I314" s="31">
        <f t="shared" si="49"/>
        <v>0</v>
      </c>
      <c r="J314" s="31">
        <f>SUM(D314:I314)</f>
        <v>25551.57</v>
      </c>
      <c r="K314" s="8"/>
      <c r="L314" s="8"/>
    </row>
    <row r="315" spans="1:12" ht="16.5" thickTop="1">
      <c r="A315" s="57"/>
      <c r="B315" s="57"/>
      <c r="C315" s="57"/>
      <c r="D315" s="20"/>
      <c r="E315" s="20"/>
      <c r="F315" s="20"/>
      <c r="G315" s="20"/>
      <c r="H315" s="20"/>
      <c r="I315" s="20"/>
      <c r="J315" s="20"/>
      <c r="K315" s="8"/>
      <c r="L315" s="8"/>
    </row>
    <row r="316" spans="1:12">
      <c r="A316" s="57"/>
      <c r="B316" s="57"/>
      <c r="C316" s="57"/>
      <c r="D316" s="20"/>
      <c r="E316" s="20"/>
      <c r="F316" s="20"/>
      <c r="G316" s="20"/>
      <c r="H316" s="20"/>
      <c r="I316" s="20"/>
      <c r="J316" s="20"/>
      <c r="K316" s="8"/>
      <c r="L316" s="8"/>
    </row>
    <row r="317" spans="1:12">
      <c r="A317" s="57">
        <v>70</v>
      </c>
      <c r="B317" s="57" t="s">
        <v>65</v>
      </c>
      <c r="C317" s="57" t="s">
        <v>12</v>
      </c>
      <c r="D317" s="25">
        <v>19987.490000000002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f>SUM(D317:I317)</f>
        <v>19987.490000000002</v>
      </c>
      <c r="K317" s="8"/>
      <c r="L317" s="8"/>
    </row>
    <row r="318" spans="1:12" ht="16.5" hidden="1" thickBot="1">
      <c r="A318" s="57"/>
      <c r="B318" s="57"/>
      <c r="C318" s="57" t="s">
        <v>78</v>
      </c>
      <c r="D318" s="29"/>
      <c r="E318" s="29"/>
      <c r="F318" s="29"/>
      <c r="G318" s="29"/>
      <c r="H318" s="29"/>
      <c r="I318" s="29"/>
      <c r="J318" s="29">
        <f>SUM(D318:I318)</f>
        <v>0</v>
      </c>
      <c r="K318" s="8"/>
      <c r="L318" s="8"/>
    </row>
    <row r="319" spans="1:12">
      <c r="A319" s="57"/>
      <c r="B319" s="57"/>
      <c r="C319" s="57"/>
      <c r="D319" s="20"/>
      <c r="E319" s="20"/>
      <c r="F319" s="20"/>
      <c r="G319" s="20"/>
      <c r="H319" s="20"/>
      <c r="I319" s="20"/>
      <c r="J319" s="20"/>
      <c r="K319" s="8"/>
      <c r="L319" s="8"/>
    </row>
    <row r="320" spans="1:12" ht="16.5" thickBot="1">
      <c r="A320" s="57"/>
      <c r="B320" s="57"/>
      <c r="C320" s="57" t="s">
        <v>10</v>
      </c>
      <c r="D320" s="31">
        <f t="shared" ref="D320:I320" si="50">SUM(D317:D319)</f>
        <v>19987.490000000002</v>
      </c>
      <c r="E320" s="31">
        <f t="shared" si="50"/>
        <v>0</v>
      </c>
      <c r="F320" s="31">
        <f t="shared" si="50"/>
        <v>0</v>
      </c>
      <c r="G320" s="31">
        <f t="shared" si="50"/>
        <v>0</v>
      </c>
      <c r="H320" s="31">
        <f t="shared" si="50"/>
        <v>0</v>
      </c>
      <c r="I320" s="31">
        <f t="shared" si="50"/>
        <v>0</v>
      </c>
      <c r="J320" s="31">
        <f>SUM(D320:I320)</f>
        <v>19987.490000000002</v>
      </c>
      <c r="K320" s="8"/>
      <c r="L320" s="8"/>
    </row>
    <row r="321" spans="1:12" ht="16.5" thickTop="1">
      <c r="A321" s="57"/>
      <c r="B321" s="57"/>
      <c r="C321" s="57"/>
      <c r="D321" s="20"/>
      <c r="E321" s="20"/>
      <c r="F321" s="20"/>
      <c r="G321" s="20"/>
      <c r="H321" s="20"/>
      <c r="I321" s="20"/>
      <c r="J321" s="20"/>
      <c r="K321" s="8"/>
      <c r="L321" s="8"/>
    </row>
    <row r="322" spans="1:12">
      <c r="A322" s="57"/>
      <c r="B322" s="57"/>
      <c r="C322" s="57" t="s">
        <v>66</v>
      </c>
      <c r="D322" s="20">
        <f t="shared" ref="D322:I322" si="51">SUM(D10:D320)/2</f>
        <v>1474643.4000000001</v>
      </c>
      <c r="E322" s="20">
        <f t="shared" si="51"/>
        <v>13759.650000000001</v>
      </c>
      <c r="F322" s="20">
        <f t="shared" si="51"/>
        <v>3108.7800000000007</v>
      </c>
      <c r="G322" s="20">
        <f t="shared" si="51"/>
        <v>0</v>
      </c>
      <c r="H322" s="20">
        <f t="shared" si="51"/>
        <v>0</v>
      </c>
      <c r="I322" s="20">
        <f t="shared" si="51"/>
        <v>0</v>
      </c>
      <c r="J322" s="20">
        <f>SUM(D322:I322)</f>
        <v>1491511.83</v>
      </c>
      <c r="K322" s="8"/>
      <c r="L322" s="8"/>
    </row>
    <row r="323" spans="1:12">
      <c r="A323" s="57"/>
      <c r="B323" s="57"/>
      <c r="C323" s="57"/>
      <c r="D323" s="20"/>
      <c r="E323" s="20"/>
      <c r="F323" s="20"/>
      <c r="G323" s="20"/>
      <c r="H323" s="20"/>
      <c r="I323" s="20"/>
      <c r="J323" s="20"/>
      <c r="K323" s="8"/>
      <c r="L323" s="8"/>
    </row>
    <row r="324" spans="1:12">
      <c r="A324" s="57"/>
      <c r="B324" s="57"/>
      <c r="C324" s="57"/>
      <c r="D324" s="20"/>
      <c r="E324" s="20"/>
      <c r="F324" s="20"/>
      <c r="G324" s="20"/>
      <c r="H324" s="20"/>
      <c r="I324" s="20"/>
      <c r="J324" s="20"/>
      <c r="K324" s="8"/>
      <c r="L324" s="8"/>
    </row>
  </sheetData>
  <pageMargins left="0.5" right="0.5" top="2" bottom="0.25" header="0.5" footer="0.5"/>
  <pageSetup scale="70" fitToHeight="50" orientation="portrait" r:id="rId1"/>
  <headerFooter alignWithMargins="0">
    <oddHeader xml:space="preserve">&amp;L&amp;"SWISS,Bold"&amp;16&amp;G
 </oddHeader>
    <oddFooter>&amp;L&amp;"SWISS,Bold"&amp;14
Cass County Finance Office
211 9th Street South
PO Box 2806
Fargo, ND 58108-2806
701-241-5600</oddFooter>
  </headerFooter>
  <rowBreaks count="51" manualBreakCount="51">
    <brk id="7" max="65535" man="1"/>
    <brk id="14" max="16383" man="1"/>
    <brk id="20" max="16383" man="1"/>
    <brk id="26" max="16383" man="1"/>
    <brk id="31" max="16383" man="1"/>
    <brk id="36" max="16383" man="1"/>
    <brk id="42" max="16383" man="1"/>
    <brk id="49" max="65535" man="1"/>
    <brk id="55" max="16383" man="1"/>
    <brk id="64" max="16383" man="1"/>
    <brk id="70" max="16383" man="1"/>
    <brk id="76" max="16383" man="1"/>
    <brk id="84" max="16383" man="1"/>
    <brk id="90" max="16383" man="1"/>
    <brk id="98" max="16383" man="1"/>
    <brk id="104" max="16383" man="1"/>
    <brk id="111" max="16383" man="1"/>
    <brk id="116" max="16383" man="1"/>
    <brk id="124" max="16383" man="1"/>
    <brk id="128" max="9" man="1"/>
    <brk id="133" max="16383" man="1"/>
    <brk id="140" max="16383" man="1"/>
    <brk id="146" max="16383" man="1"/>
    <brk id="154" max="16383" man="1"/>
    <brk id="159" max="9" man="1"/>
    <brk id="165" max="16383" man="1"/>
    <brk id="170" max="16383" man="1"/>
    <brk id="175" max="16383" man="1"/>
    <brk id="180" max="16383" man="1"/>
    <brk id="185" max="16383" man="1"/>
    <brk id="191" max="16383" man="1"/>
    <brk id="198" max="16383" man="1"/>
    <brk id="204" max="16383" man="1"/>
    <brk id="212" max="16383" man="1"/>
    <brk id="218" max="16383" man="1"/>
    <brk id="224" max="16383" man="1"/>
    <brk id="230" max="16383" man="1"/>
    <brk id="238" max="16383" man="1"/>
    <brk id="244" max="16383" man="1"/>
    <brk id="250" max="16383" man="1"/>
    <brk id="259" max="16383" man="1"/>
    <brk id="266" max="16383" man="1"/>
    <brk id="272" max="16383" man="1"/>
    <brk id="278" max="16383" man="1"/>
    <brk id="283" max="16383" man="1"/>
    <brk id="289" max="16383" man="1"/>
    <brk id="297" max="16383" man="1"/>
    <brk id="303" max="16383" man="1"/>
    <brk id="309" max="16383" man="1"/>
    <brk id="315" max="16383" man="1"/>
    <brk id="321" max="16383" man="1"/>
  </rowBreaks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C9742-AC47-48DF-82F0-DA461FB04C74}">
  <sheetPr>
    <pageSetUpPr autoPageBreaks="0"/>
  </sheetPr>
  <dimension ref="A1:M324"/>
  <sheetViews>
    <sheetView showOutlineSymbols="0" defaultGridColor="0" view="pageBreakPreview" topLeftCell="A134" colorId="23" zoomScale="80" zoomScaleNormal="75" zoomScaleSheetLayoutView="80" workbookViewId="0">
      <selection activeCell="G43" sqref="G43"/>
    </sheetView>
  </sheetViews>
  <sheetFormatPr defaultColWidth="9.6640625" defaultRowHeight="15.75"/>
  <cols>
    <col min="1" max="1" width="9.6640625" style="60" customWidth="1"/>
    <col min="2" max="2" width="20.21875" style="60" customWidth="1"/>
    <col min="3" max="3" width="24.44140625" style="60" bestFit="1" customWidth="1"/>
    <col min="4" max="4" width="12.44140625" style="60" bestFit="1" customWidth="1"/>
    <col min="5" max="6" width="12.77734375" style="23" customWidth="1"/>
    <col min="7" max="7" width="12.6640625" style="23" customWidth="1"/>
    <col min="8" max="9" width="11.6640625" style="23" customWidth="1"/>
    <col min="10" max="10" width="9.6640625" style="23" customWidth="1"/>
    <col min="11" max="11" width="14.44140625" style="23" customWidth="1"/>
    <col min="12" max="16384" width="9.6640625" style="10"/>
  </cols>
  <sheetData>
    <row r="1" spans="1:13">
      <c r="A1" s="57"/>
      <c r="B1" s="57"/>
      <c r="C1" s="57"/>
      <c r="D1" s="57"/>
      <c r="E1" s="20"/>
      <c r="F1" s="20"/>
      <c r="G1" s="20"/>
      <c r="H1" s="20"/>
      <c r="I1" s="20"/>
      <c r="J1" s="21"/>
      <c r="K1" s="20"/>
      <c r="L1" s="8"/>
      <c r="M1" s="8"/>
    </row>
    <row r="2" spans="1:13">
      <c r="A2" s="57"/>
      <c r="B2" s="57"/>
      <c r="C2" s="57"/>
      <c r="D2" s="57"/>
      <c r="E2" s="20"/>
      <c r="F2" s="20"/>
      <c r="G2" s="20"/>
      <c r="H2" s="20"/>
      <c r="I2" s="20"/>
      <c r="J2" s="20"/>
      <c r="K2" s="20"/>
      <c r="L2" s="8"/>
      <c r="M2" s="8"/>
    </row>
    <row r="3" spans="1:13">
      <c r="A3" s="57"/>
      <c r="B3" s="57"/>
      <c r="C3" s="57"/>
      <c r="D3" s="57"/>
      <c r="E3" s="20"/>
      <c r="F3" s="20"/>
      <c r="G3" s="20"/>
      <c r="H3" s="20"/>
      <c r="I3" s="20"/>
      <c r="J3" s="20"/>
      <c r="K3" s="20"/>
      <c r="L3" s="8"/>
      <c r="M3" s="8"/>
    </row>
    <row r="4" spans="1:13" s="56" customFormat="1" ht="18">
      <c r="A4" s="58"/>
      <c r="B4" s="54" t="s">
        <v>1</v>
      </c>
      <c r="C4" s="54"/>
      <c r="D4" s="54"/>
      <c r="E4" s="55"/>
      <c r="F4" s="55"/>
      <c r="G4" s="55"/>
      <c r="H4" s="55"/>
      <c r="I4" s="55"/>
      <c r="J4" s="55"/>
      <c r="K4" s="55"/>
      <c r="L4" s="53"/>
      <c r="M4" s="53"/>
    </row>
    <row r="5" spans="1:13" s="56" customFormat="1" ht="18">
      <c r="A5" s="58"/>
      <c r="B5" s="54" t="s">
        <v>130</v>
      </c>
      <c r="C5" s="54"/>
      <c r="D5" s="54"/>
      <c r="E5" s="55"/>
      <c r="F5" s="55"/>
      <c r="G5" s="55"/>
      <c r="H5" s="55"/>
      <c r="I5" s="55"/>
      <c r="J5" s="55"/>
      <c r="K5" s="55"/>
      <c r="L5" s="53"/>
      <c r="M5" s="53"/>
    </row>
    <row r="6" spans="1:13" s="56" customFormat="1" ht="18">
      <c r="A6" s="58"/>
      <c r="B6" s="54"/>
      <c r="C6" s="54"/>
      <c r="D6" s="54"/>
      <c r="E6" s="55"/>
      <c r="F6" s="55"/>
      <c r="G6" s="55"/>
      <c r="H6" s="55"/>
      <c r="I6" s="55"/>
      <c r="J6" s="55"/>
      <c r="K6" s="55"/>
      <c r="L6" s="53"/>
      <c r="M6" s="53"/>
    </row>
    <row r="7" spans="1:13">
      <c r="A7" s="57"/>
      <c r="B7" s="57"/>
      <c r="C7" s="57"/>
      <c r="D7" s="57"/>
      <c r="E7" s="20"/>
      <c r="F7" s="20"/>
      <c r="G7" s="20"/>
      <c r="H7" s="20"/>
      <c r="I7" s="20"/>
      <c r="J7" s="20"/>
      <c r="K7" s="20"/>
      <c r="L7" s="8"/>
      <c r="M7" s="8"/>
    </row>
    <row r="8" spans="1:13">
      <c r="A8" s="57"/>
      <c r="B8" s="64" t="s">
        <v>90</v>
      </c>
      <c r="C8" s="64" t="s">
        <v>4</v>
      </c>
      <c r="D8" s="64">
        <v>2022</v>
      </c>
      <c r="E8" s="65">
        <v>2021</v>
      </c>
      <c r="F8" s="65">
        <v>2020</v>
      </c>
      <c r="G8" s="65">
        <v>2019</v>
      </c>
      <c r="H8" s="67">
        <v>2018</v>
      </c>
      <c r="I8" s="67">
        <v>2017</v>
      </c>
      <c r="J8" s="67">
        <v>2016</v>
      </c>
      <c r="K8" s="66" t="s">
        <v>10</v>
      </c>
      <c r="L8" s="8"/>
      <c r="M8" s="8"/>
    </row>
    <row r="9" spans="1:13">
      <c r="A9" s="57"/>
      <c r="B9" s="57"/>
      <c r="C9" s="57"/>
      <c r="D9" s="57"/>
      <c r="E9" s="20"/>
      <c r="F9" s="20"/>
      <c r="G9" s="20"/>
      <c r="H9" s="20"/>
      <c r="I9" s="20"/>
      <c r="J9" s="20"/>
      <c r="K9" s="20"/>
      <c r="L9" s="8"/>
      <c r="M9" s="8"/>
    </row>
    <row r="10" spans="1:13">
      <c r="A10" s="57">
        <v>21</v>
      </c>
      <c r="B10" s="57" t="s">
        <v>11</v>
      </c>
      <c r="C10" s="57" t="s">
        <v>12</v>
      </c>
      <c r="D10" s="20">
        <v>20479.41</v>
      </c>
      <c r="E10" s="20">
        <v>20868.080000000002</v>
      </c>
      <c r="F10" s="20">
        <v>2.76</v>
      </c>
      <c r="G10" s="20">
        <v>0</v>
      </c>
      <c r="H10" s="20">
        <v>0</v>
      </c>
      <c r="I10" s="20">
        <v>0</v>
      </c>
      <c r="J10" s="20">
        <v>0</v>
      </c>
      <c r="K10" s="20">
        <f>SUM(D10:I10)</f>
        <v>41350.250000000007</v>
      </c>
      <c r="L10" s="8"/>
      <c r="M10" s="8"/>
    </row>
    <row r="11" spans="1:13" ht="16.5" thickBot="1">
      <c r="A11" s="57"/>
      <c r="B11" s="57"/>
      <c r="C11" s="57" t="s">
        <v>13</v>
      </c>
      <c r="D11" s="29">
        <v>341.32</v>
      </c>
      <c r="E11" s="29">
        <v>391.13</v>
      </c>
      <c r="F11" s="29">
        <v>7.0000000000000007E-2</v>
      </c>
      <c r="G11" s="29">
        <v>0</v>
      </c>
      <c r="H11" s="29">
        <v>0</v>
      </c>
      <c r="I11" s="29">
        <v>0</v>
      </c>
      <c r="J11" s="29">
        <v>0</v>
      </c>
      <c r="K11" s="29">
        <f>SUM(D11:J11)</f>
        <v>732.5200000000001</v>
      </c>
      <c r="L11" s="8"/>
      <c r="M11" s="8"/>
    </row>
    <row r="12" spans="1:13">
      <c r="A12" s="57"/>
      <c r="B12" s="57"/>
      <c r="C12" s="57"/>
      <c r="D12" s="57"/>
      <c r="E12" s="20"/>
      <c r="F12" s="20"/>
      <c r="G12" s="20"/>
      <c r="H12" s="20"/>
      <c r="I12" s="20"/>
      <c r="J12" s="20"/>
      <c r="K12" s="20"/>
      <c r="L12" s="8"/>
      <c r="M12" s="8"/>
    </row>
    <row r="13" spans="1:13" ht="16.5" thickBot="1">
      <c r="A13" s="57"/>
      <c r="B13" s="57"/>
      <c r="C13" s="57" t="s">
        <v>10</v>
      </c>
      <c r="D13" s="31">
        <f t="shared" ref="D13:J13" si="0">SUM(D10:D11)</f>
        <v>20820.73</v>
      </c>
      <c r="E13" s="31">
        <f t="shared" si="0"/>
        <v>21259.210000000003</v>
      </c>
      <c r="F13" s="31">
        <f t="shared" si="0"/>
        <v>2.8299999999999996</v>
      </c>
      <c r="G13" s="31">
        <f t="shared" si="0"/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1">
        <f>SUM(D13:J13)</f>
        <v>42082.770000000004</v>
      </c>
      <c r="L13" s="8"/>
      <c r="M13" s="8"/>
    </row>
    <row r="14" spans="1:13" ht="16.5" thickTop="1">
      <c r="A14" s="57"/>
      <c r="B14" s="57"/>
      <c r="C14" s="57"/>
      <c r="D14" s="57"/>
      <c r="E14" s="20"/>
      <c r="F14" s="20"/>
      <c r="G14" s="20"/>
      <c r="H14" s="20"/>
      <c r="I14" s="20"/>
      <c r="J14" s="20"/>
      <c r="K14" s="20"/>
      <c r="L14" s="8"/>
      <c r="M14" s="8"/>
    </row>
    <row r="15" spans="1:13">
      <c r="A15" s="57"/>
      <c r="B15" s="57"/>
      <c r="C15" s="57"/>
      <c r="D15" s="57"/>
      <c r="E15" s="20"/>
      <c r="F15" s="20"/>
      <c r="G15" s="20"/>
      <c r="H15" s="20"/>
      <c r="I15" s="20"/>
      <c r="J15" s="20"/>
      <c r="K15" s="20"/>
      <c r="L15" s="8"/>
      <c r="M15" s="8"/>
    </row>
    <row r="16" spans="1:13">
      <c r="A16" s="57">
        <v>22</v>
      </c>
      <c r="B16" s="57" t="s">
        <v>15</v>
      </c>
      <c r="C16" s="57" t="s">
        <v>12</v>
      </c>
      <c r="D16" s="20">
        <v>23697.97</v>
      </c>
      <c r="E16" s="20">
        <v>22905.05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f>SUM(D16:J16)</f>
        <v>46603.020000000004</v>
      </c>
      <c r="L16" s="8"/>
      <c r="M16" s="8"/>
    </row>
    <row r="17" spans="1:13" ht="16.5" thickBot="1">
      <c r="A17" s="57"/>
      <c r="B17" s="57"/>
      <c r="C17" s="57" t="s">
        <v>13</v>
      </c>
      <c r="D17" s="29">
        <v>645.02</v>
      </c>
      <c r="E17" s="29">
        <v>645.94000000000005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>SUM(D17:J17)</f>
        <v>1290.96</v>
      </c>
      <c r="L17" s="8"/>
      <c r="M17" s="8"/>
    </row>
    <row r="18" spans="1:13">
      <c r="A18" s="57"/>
      <c r="B18" s="57"/>
      <c r="C18" s="57"/>
      <c r="D18" s="57"/>
      <c r="E18" s="20"/>
      <c r="F18" s="20"/>
      <c r="G18" s="20"/>
      <c r="H18" s="20"/>
      <c r="I18" s="20"/>
      <c r="J18" s="20"/>
      <c r="K18" s="20"/>
      <c r="L18" s="8"/>
      <c r="M18" s="8"/>
    </row>
    <row r="19" spans="1:13" ht="16.5" thickBot="1">
      <c r="A19" s="57"/>
      <c r="B19" s="57"/>
      <c r="C19" s="57" t="s">
        <v>10</v>
      </c>
      <c r="D19" s="31">
        <f>SUM(D16:D17)</f>
        <v>24342.99</v>
      </c>
      <c r="E19" s="31">
        <f>SUM(E16:E17)</f>
        <v>23550.989999999998</v>
      </c>
      <c r="F19" s="31">
        <f t="shared" ref="F19:J19" si="1">SUM(F16:F17)</f>
        <v>0</v>
      </c>
      <c r="G19" s="31">
        <f t="shared" si="1"/>
        <v>0</v>
      </c>
      <c r="H19" s="31">
        <f t="shared" si="1"/>
        <v>0</v>
      </c>
      <c r="I19" s="31">
        <f t="shared" si="1"/>
        <v>0</v>
      </c>
      <c r="J19" s="31">
        <f t="shared" si="1"/>
        <v>0</v>
      </c>
      <c r="K19" s="31">
        <f>SUM(D19:J19)</f>
        <v>47893.979999999996</v>
      </c>
      <c r="L19" s="8"/>
      <c r="M19" s="8"/>
    </row>
    <row r="20" spans="1:13" ht="16.5" thickTop="1">
      <c r="A20" s="57"/>
      <c r="B20" s="57"/>
      <c r="C20" s="57"/>
      <c r="D20" s="57"/>
      <c r="E20" s="20"/>
      <c r="F20" s="20"/>
      <c r="G20" s="20"/>
      <c r="H20" s="20"/>
      <c r="I20" s="20"/>
      <c r="J20" s="20"/>
      <c r="K20" s="20"/>
      <c r="L20" s="8"/>
      <c r="M20" s="8"/>
    </row>
    <row r="21" spans="1:13">
      <c r="A21" s="57"/>
      <c r="B21" s="57"/>
      <c r="C21" s="57"/>
      <c r="D21" s="57"/>
      <c r="E21" s="20"/>
      <c r="F21" s="20"/>
      <c r="G21" s="20"/>
      <c r="H21" s="20"/>
      <c r="I21" s="20"/>
      <c r="J21" s="20"/>
      <c r="K21" s="20"/>
      <c r="L21" s="8"/>
      <c r="M21" s="8"/>
    </row>
    <row r="22" spans="1:13" ht="16.5" thickBot="1">
      <c r="A22" s="57">
        <v>23</v>
      </c>
      <c r="B22" s="57" t="s">
        <v>16</v>
      </c>
      <c r="C22" s="57" t="s">
        <v>12</v>
      </c>
      <c r="D22" s="29">
        <v>17078.03</v>
      </c>
      <c r="E22" s="29">
        <v>18043.05</v>
      </c>
      <c r="F22" s="50">
        <v>428.62</v>
      </c>
      <c r="G22" s="29">
        <v>0</v>
      </c>
      <c r="H22" s="29">
        <v>0</v>
      </c>
      <c r="I22" s="29">
        <v>0</v>
      </c>
      <c r="J22" s="29">
        <v>0</v>
      </c>
      <c r="K22" s="29">
        <f>SUM(D22:J22)</f>
        <v>35549.700000000004</v>
      </c>
      <c r="L22" s="8"/>
      <c r="M22" s="8"/>
    </row>
    <row r="23" spans="1:13" ht="16.5" hidden="1" thickBot="1">
      <c r="A23" s="57"/>
      <c r="B23" s="57"/>
      <c r="C23" s="57" t="s">
        <v>13</v>
      </c>
      <c r="D23" s="57"/>
      <c r="E23" s="29"/>
      <c r="F23" s="29"/>
      <c r="G23" s="29"/>
      <c r="H23" s="29"/>
      <c r="I23" s="29"/>
      <c r="J23" s="29"/>
      <c r="K23" s="29">
        <f>SUM(E23:J23)</f>
        <v>0</v>
      </c>
      <c r="L23" s="8"/>
      <c r="M23" s="8"/>
    </row>
    <row r="24" spans="1:13">
      <c r="A24" s="57"/>
      <c r="B24" s="57"/>
      <c r="C24" s="57"/>
      <c r="D24" s="57"/>
      <c r="E24" s="20"/>
      <c r="F24" s="20"/>
      <c r="G24" s="20"/>
      <c r="H24" s="20"/>
      <c r="I24" s="20"/>
      <c r="J24" s="20"/>
      <c r="K24" s="20"/>
      <c r="L24" s="8"/>
      <c r="M24" s="8"/>
    </row>
    <row r="25" spans="1:13" ht="16.5" thickBot="1">
      <c r="A25" s="57"/>
      <c r="B25" s="57"/>
      <c r="C25" s="57" t="s">
        <v>10</v>
      </c>
      <c r="D25" s="31">
        <f t="shared" ref="D25:J25" si="2">SUM(D22:D23)</f>
        <v>17078.03</v>
      </c>
      <c r="E25" s="31">
        <f t="shared" si="2"/>
        <v>18043.05</v>
      </c>
      <c r="F25" s="31">
        <f t="shared" si="2"/>
        <v>428.62</v>
      </c>
      <c r="G25" s="31">
        <f t="shared" si="2"/>
        <v>0</v>
      </c>
      <c r="H25" s="31">
        <f t="shared" si="2"/>
        <v>0</v>
      </c>
      <c r="I25" s="31">
        <f t="shared" si="2"/>
        <v>0</v>
      </c>
      <c r="J25" s="31">
        <f t="shared" si="2"/>
        <v>0</v>
      </c>
      <c r="K25" s="31">
        <f>SUM(D25:J25)</f>
        <v>35549.700000000004</v>
      </c>
      <c r="L25" s="8"/>
      <c r="M25" s="8"/>
    </row>
    <row r="26" spans="1:13" ht="16.5" thickTop="1">
      <c r="A26" s="57"/>
      <c r="B26" s="57"/>
      <c r="C26" s="57"/>
      <c r="D26" s="57"/>
      <c r="E26" s="20"/>
      <c r="F26" s="20"/>
      <c r="G26" s="20"/>
      <c r="H26" s="20"/>
      <c r="I26" s="20"/>
      <c r="J26" s="20"/>
      <c r="K26" s="20"/>
      <c r="L26" s="8"/>
      <c r="M26" s="8"/>
    </row>
    <row r="27" spans="1:13">
      <c r="A27" s="57"/>
      <c r="B27" s="57"/>
      <c r="C27" s="57"/>
      <c r="D27" s="57"/>
      <c r="E27" s="20"/>
      <c r="F27" s="20"/>
      <c r="G27" s="20"/>
      <c r="H27" s="20"/>
      <c r="I27" s="20"/>
      <c r="J27" s="20"/>
      <c r="K27" s="20"/>
      <c r="L27" s="8"/>
      <c r="M27" s="8"/>
    </row>
    <row r="28" spans="1:13" ht="16.5" thickBot="1">
      <c r="A28" s="57">
        <v>24</v>
      </c>
      <c r="B28" s="57" t="s">
        <v>17</v>
      </c>
      <c r="C28" s="57" t="s">
        <v>12</v>
      </c>
      <c r="D28" s="29">
        <v>13490.6</v>
      </c>
      <c r="E28" s="29">
        <v>14916.32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>SUM(D28:J28)</f>
        <v>28406.92</v>
      </c>
      <c r="L28" s="8"/>
      <c r="M28" s="8"/>
    </row>
    <row r="29" spans="1:13">
      <c r="A29" s="57"/>
      <c r="B29" s="57"/>
      <c r="C29" s="57"/>
      <c r="D29" s="57"/>
      <c r="E29" s="20"/>
      <c r="F29" s="20"/>
      <c r="G29" s="20"/>
      <c r="H29" s="20"/>
      <c r="I29" s="20"/>
      <c r="J29" s="20"/>
      <c r="K29" s="20"/>
      <c r="L29" s="8"/>
      <c r="M29" s="8"/>
    </row>
    <row r="30" spans="1:13" ht="16.5" thickBot="1">
      <c r="A30" s="57"/>
      <c r="B30" s="57"/>
      <c r="C30" s="57" t="s">
        <v>10</v>
      </c>
      <c r="D30" s="31">
        <f t="shared" ref="D30" si="3">SUM(D27:D28)</f>
        <v>13490.6</v>
      </c>
      <c r="E30" s="31">
        <f t="shared" ref="E30:J30" si="4">SUM(E28:E29)</f>
        <v>14916.32</v>
      </c>
      <c r="F30" s="31">
        <f t="shared" si="4"/>
        <v>0</v>
      </c>
      <c r="G30" s="31">
        <f t="shared" si="4"/>
        <v>0</v>
      </c>
      <c r="H30" s="31">
        <f t="shared" si="4"/>
        <v>0</v>
      </c>
      <c r="I30" s="31">
        <f t="shared" si="4"/>
        <v>0</v>
      </c>
      <c r="J30" s="31">
        <f t="shared" si="4"/>
        <v>0</v>
      </c>
      <c r="K30" s="31">
        <f>SUM(D30:J30)</f>
        <v>28406.92</v>
      </c>
      <c r="L30" s="8"/>
      <c r="M30" s="8"/>
    </row>
    <row r="31" spans="1:13" ht="16.5" thickTop="1">
      <c r="A31" s="57"/>
      <c r="B31" s="57"/>
      <c r="C31" s="57"/>
      <c r="D31" s="57"/>
      <c r="E31" s="20"/>
      <c r="F31" s="20"/>
      <c r="G31" s="20"/>
      <c r="H31" s="20"/>
      <c r="I31" s="20"/>
      <c r="J31" s="20"/>
      <c r="K31" s="20"/>
      <c r="L31" s="8"/>
      <c r="M31" s="8"/>
    </row>
    <row r="32" spans="1:13">
      <c r="A32" s="57"/>
      <c r="B32" s="57"/>
      <c r="C32" s="57"/>
      <c r="D32" s="57"/>
      <c r="E32" s="20"/>
      <c r="F32" s="20"/>
      <c r="G32" s="20"/>
      <c r="H32" s="20"/>
      <c r="I32" s="20"/>
      <c r="J32" s="20"/>
      <c r="K32" s="20"/>
      <c r="L32" s="8"/>
      <c r="M32" s="8"/>
    </row>
    <row r="33" spans="1:13" ht="16.5" thickBot="1">
      <c r="A33" s="57">
        <v>25</v>
      </c>
      <c r="B33" s="57" t="s">
        <v>18</v>
      </c>
      <c r="C33" s="57" t="s">
        <v>12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>SUM(D33:J33)</f>
        <v>0</v>
      </c>
      <c r="L33" s="8"/>
      <c r="M33" s="8"/>
    </row>
    <row r="34" spans="1:13">
      <c r="A34" s="57"/>
      <c r="B34" s="57"/>
      <c r="C34" s="57"/>
      <c r="D34" s="57"/>
      <c r="E34" s="20"/>
      <c r="F34" s="20"/>
      <c r="G34" s="20"/>
      <c r="H34" s="20"/>
      <c r="I34" s="20"/>
      <c r="J34" s="20"/>
      <c r="K34" s="20"/>
      <c r="L34" s="8"/>
      <c r="M34" s="8"/>
    </row>
    <row r="35" spans="1:13" ht="16.5" thickBot="1">
      <c r="A35" s="57"/>
      <c r="B35" s="57"/>
      <c r="C35" s="57" t="s">
        <v>10</v>
      </c>
      <c r="D35" s="31">
        <f t="shared" ref="D35" si="5">SUM(D32:D33)</f>
        <v>0</v>
      </c>
      <c r="E35" s="31">
        <f t="shared" ref="E35:J35" si="6">SUM(E33:E34)</f>
        <v>0</v>
      </c>
      <c r="F35" s="31">
        <f t="shared" si="6"/>
        <v>0</v>
      </c>
      <c r="G35" s="31">
        <f t="shared" si="6"/>
        <v>0</v>
      </c>
      <c r="H35" s="31">
        <f t="shared" si="6"/>
        <v>0</v>
      </c>
      <c r="I35" s="31">
        <f t="shared" si="6"/>
        <v>0</v>
      </c>
      <c r="J35" s="31">
        <f t="shared" si="6"/>
        <v>0</v>
      </c>
      <c r="K35" s="31">
        <f>SUM(D35:J35)</f>
        <v>0</v>
      </c>
      <c r="L35" s="8"/>
      <c r="M35" s="8"/>
    </row>
    <row r="36" spans="1:13" ht="16.5" thickTop="1">
      <c r="A36" s="57"/>
      <c r="B36" s="57"/>
      <c r="C36" s="57"/>
      <c r="D36" s="57"/>
      <c r="E36" s="20"/>
      <c r="F36" s="20"/>
      <c r="G36" s="20"/>
      <c r="H36" s="20"/>
      <c r="I36" s="20"/>
      <c r="J36" s="20"/>
      <c r="K36" s="20"/>
      <c r="L36" s="8"/>
      <c r="M36" s="8"/>
    </row>
    <row r="37" spans="1:13">
      <c r="A37" s="57"/>
      <c r="B37" s="57"/>
      <c r="C37" s="57"/>
      <c r="D37" s="57"/>
      <c r="E37" s="20"/>
      <c r="F37" s="20"/>
      <c r="G37" s="20"/>
      <c r="H37" s="20"/>
      <c r="I37" s="20"/>
      <c r="J37" s="20"/>
      <c r="K37" s="20"/>
      <c r="L37" s="8"/>
      <c r="M37" s="8"/>
    </row>
    <row r="38" spans="1:13" ht="16.5" thickBot="1">
      <c r="A38" s="57">
        <v>26</v>
      </c>
      <c r="B38" s="57" t="s">
        <v>19</v>
      </c>
      <c r="C38" s="57" t="s">
        <v>12</v>
      </c>
      <c r="D38" s="29">
        <v>16261.69</v>
      </c>
      <c r="E38" s="29">
        <v>17675.8</v>
      </c>
      <c r="F38" s="29">
        <v>190.17</v>
      </c>
      <c r="G38" s="29">
        <v>0</v>
      </c>
      <c r="H38" s="29">
        <v>0</v>
      </c>
      <c r="I38" s="29">
        <v>0</v>
      </c>
      <c r="J38" s="29">
        <v>0</v>
      </c>
      <c r="K38" s="29">
        <f>SUM(D38:J38)</f>
        <v>34127.659999999996</v>
      </c>
      <c r="L38" s="8"/>
      <c r="M38" s="8"/>
    </row>
    <row r="39" spans="1:13" ht="16.5" hidden="1" thickBot="1">
      <c r="A39" s="57"/>
      <c r="B39" s="57"/>
      <c r="C39" s="57" t="s">
        <v>13</v>
      </c>
      <c r="D39" s="57"/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>SUM(E39:J39)</f>
        <v>0</v>
      </c>
      <c r="L39" s="8"/>
      <c r="M39" s="8"/>
    </row>
    <row r="40" spans="1:13">
      <c r="A40" s="57"/>
      <c r="B40" s="57"/>
      <c r="C40" s="57"/>
      <c r="D40" s="57"/>
      <c r="E40" s="20"/>
      <c r="F40" s="20"/>
      <c r="G40" s="20"/>
      <c r="H40" s="20"/>
      <c r="I40" s="20"/>
      <c r="J40" s="20"/>
      <c r="K40" s="20"/>
      <c r="L40" s="8"/>
      <c r="M40" s="8"/>
    </row>
    <row r="41" spans="1:13" ht="16.5" thickBot="1">
      <c r="A41" s="57"/>
      <c r="B41" s="57"/>
      <c r="C41" s="57" t="s">
        <v>10</v>
      </c>
      <c r="D41" s="31">
        <f t="shared" ref="D41" si="7">SUM(D38:D39)</f>
        <v>16261.69</v>
      </c>
      <c r="E41" s="31">
        <f t="shared" ref="E41:J41" si="8">SUM(E38:E39)</f>
        <v>17675.8</v>
      </c>
      <c r="F41" s="31">
        <f t="shared" si="8"/>
        <v>190.17</v>
      </c>
      <c r="G41" s="31">
        <f t="shared" si="8"/>
        <v>0</v>
      </c>
      <c r="H41" s="31">
        <f t="shared" si="8"/>
        <v>0</v>
      </c>
      <c r="I41" s="31">
        <f t="shared" si="8"/>
        <v>0</v>
      </c>
      <c r="J41" s="31">
        <f t="shared" si="8"/>
        <v>0</v>
      </c>
      <c r="K41" s="31">
        <f>SUM(D41:J41)</f>
        <v>34127.659999999996</v>
      </c>
      <c r="L41" s="8"/>
      <c r="M41" s="8"/>
    </row>
    <row r="42" spans="1:13" ht="16.5" thickTop="1">
      <c r="A42" s="57"/>
      <c r="B42" s="57"/>
      <c r="C42" s="57"/>
      <c r="D42" s="57"/>
      <c r="E42" s="20"/>
      <c r="F42" s="20"/>
      <c r="G42" s="20"/>
      <c r="H42" s="20"/>
      <c r="I42" s="20"/>
      <c r="J42" s="20"/>
      <c r="K42" s="20"/>
      <c r="L42" s="8"/>
      <c r="M42" s="8"/>
    </row>
    <row r="43" spans="1:13">
      <c r="A43" s="57"/>
      <c r="B43" s="57"/>
      <c r="C43" s="57"/>
      <c r="D43" s="57"/>
      <c r="E43" s="20"/>
      <c r="F43" s="20"/>
      <c r="G43" s="20"/>
      <c r="H43" s="20"/>
      <c r="I43" s="20"/>
      <c r="J43" s="20"/>
      <c r="K43" s="20"/>
      <c r="L43" s="8"/>
      <c r="M43" s="8"/>
    </row>
    <row r="44" spans="1:13" ht="16.5" thickBot="1">
      <c r="A44" s="57">
        <v>27</v>
      </c>
      <c r="B44" s="57" t="s">
        <v>20</v>
      </c>
      <c r="C44" s="57" t="s">
        <v>12</v>
      </c>
      <c r="D44" s="29">
        <v>23941.26</v>
      </c>
      <c r="E44" s="29">
        <v>24005.48</v>
      </c>
      <c r="F44" s="29">
        <v>86.76</v>
      </c>
      <c r="G44" s="29">
        <v>0</v>
      </c>
      <c r="H44" s="29">
        <v>0</v>
      </c>
      <c r="I44" s="29">
        <v>0</v>
      </c>
      <c r="J44" s="29">
        <v>0</v>
      </c>
      <c r="K44" s="29">
        <f>SUM(D44:J44)</f>
        <v>48033.5</v>
      </c>
      <c r="L44" s="8"/>
      <c r="M44" s="8"/>
    </row>
    <row r="45" spans="1:13">
      <c r="A45" s="57"/>
      <c r="B45" s="57"/>
      <c r="C45" s="57"/>
      <c r="D45" s="57"/>
      <c r="E45" s="20"/>
      <c r="F45" s="20"/>
      <c r="G45" s="20"/>
      <c r="H45" s="20"/>
      <c r="I45" s="20"/>
      <c r="J45" s="20"/>
      <c r="K45" s="20"/>
      <c r="L45" s="8"/>
      <c r="M45" s="8"/>
    </row>
    <row r="46" spans="1:13" ht="16.5" thickBot="1">
      <c r="A46" s="57"/>
      <c r="B46" s="57"/>
      <c r="C46" s="57" t="s">
        <v>10</v>
      </c>
      <c r="D46" s="31">
        <f t="shared" ref="D46" si="9">SUM(D43:D44)</f>
        <v>23941.26</v>
      </c>
      <c r="E46" s="31">
        <f t="shared" ref="E46:J46" si="10">SUM(E44:E45)</f>
        <v>24005.48</v>
      </c>
      <c r="F46" s="31">
        <f t="shared" si="10"/>
        <v>86.76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1">
        <f>SUM(D46:J46)</f>
        <v>48033.5</v>
      </c>
      <c r="L46" s="8"/>
      <c r="M46" s="8"/>
    </row>
    <row r="47" spans="1:13" ht="16.5" thickTop="1">
      <c r="A47" s="57"/>
      <c r="B47" s="57"/>
      <c r="C47" s="57"/>
      <c r="D47" s="57"/>
      <c r="E47" s="20"/>
      <c r="F47" s="20"/>
      <c r="G47" s="20"/>
      <c r="H47" s="20"/>
      <c r="I47" s="20"/>
      <c r="J47" s="20"/>
      <c r="K47" s="20"/>
      <c r="L47" s="8"/>
      <c r="M47" s="8"/>
    </row>
    <row r="48" spans="1:13">
      <c r="A48" s="57"/>
      <c r="B48" s="57"/>
      <c r="C48" s="57"/>
      <c r="D48" s="57"/>
      <c r="E48" s="20"/>
      <c r="F48" s="20"/>
      <c r="G48" s="20"/>
      <c r="H48" s="20"/>
      <c r="I48" s="20"/>
      <c r="J48" s="20"/>
      <c r="K48" s="20"/>
      <c r="L48" s="8"/>
      <c r="M48" s="8"/>
    </row>
    <row r="49" spans="1:13">
      <c r="A49" s="57"/>
      <c r="B49" s="57"/>
      <c r="C49" s="57"/>
      <c r="D49" s="57"/>
      <c r="E49" s="20"/>
      <c r="F49" s="20"/>
      <c r="G49" s="20"/>
      <c r="H49" s="20"/>
      <c r="I49" s="20"/>
      <c r="J49" s="20"/>
      <c r="K49" s="20"/>
      <c r="L49" s="8"/>
      <c r="M49" s="8"/>
    </row>
    <row r="50" spans="1:13">
      <c r="A50" s="57"/>
      <c r="B50" s="57"/>
      <c r="C50" s="57"/>
      <c r="D50" s="57"/>
      <c r="E50" s="20"/>
      <c r="F50" s="20"/>
      <c r="G50" s="20"/>
      <c r="H50" s="20"/>
      <c r="I50" s="20"/>
      <c r="J50" s="20"/>
      <c r="K50" s="20"/>
      <c r="L50" s="8"/>
      <c r="M50" s="8"/>
    </row>
    <row r="51" spans="1:13" ht="16.5" thickBot="1">
      <c r="A51" s="57">
        <v>28</v>
      </c>
      <c r="B51" s="57" t="s">
        <v>21</v>
      </c>
      <c r="C51" s="57" t="s">
        <v>12</v>
      </c>
      <c r="D51" s="29">
        <v>25917.09</v>
      </c>
      <c r="E51" s="29">
        <v>25966.32</v>
      </c>
      <c r="F51" s="29">
        <v>1035.7</v>
      </c>
      <c r="G51" s="29">
        <v>0</v>
      </c>
      <c r="H51" s="29">
        <v>0</v>
      </c>
      <c r="I51" s="29">
        <v>0</v>
      </c>
      <c r="J51" s="29">
        <v>0</v>
      </c>
      <c r="K51" s="29">
        <f>SUM(D51:J51)</f>
        <v>52919.11</v>
      </c>
      <c r="L51" s="8"/>
      <c r="M51" s="8"/>
    </row>
    <row r="52" spans="1:13" ht="16.5" hidden="1" thickBot="1">
      <c r="A52" s="57"/>
      <c r="B52" s="57"/>
      <c r="C52" s="57" t="s">
        <v>13</v>
      </c>
      <c r="D52" s="57"/>
      <c r="E52" s="29"/>
      <c r="F52" s="29"/>
      <c r="G52" s="29"/>
      <c r="H52" s="29"/>
      <c r="I52" s="29"/>
      <c r="J52" s="29"/>
      <c r="K52" s="29">
        <f>SUM(E52:J52)</f>
        <v>0</v>
      </c>
      <c r="L52" s="8"/>
      <c r="M52" s="8"/>
    </row>
    <row r="53" spans="1:13">
      <c r="A53" s="57"/>
      <c r="B53" s="57"/>
      <c r="C53" s="57"/>
      <c r="D53" s="57"/>
      <c r="E53" s="20"/>
      <c r="F53" s="20"/>
      <c r="G53" s="20"/>
      <c r="H53" s="20"/>
      <c r="I53" s="20"/>
      <c r="J53" s="20"/>
      <c r="K53" s="20"/>
      <c r="L53" s="8"/>
      <c r="M53" s="8"/>
    </row>
    <row r="54" spans="1:13" ht="16.5" thickBot="1">
      <c r="A54" s="57"/>
      <c r="B54" s="57"/>
      <c r="C54" s="57" t="s">
        <v>10</v>
      </c>
      <c r="D54" s="31">
        <f>SUM(D51:D52)</f>
        <v>25917.09</v>
      </c>
      <c r="E54" s="31">
        <f t="shared" ref="E54:J54" si="11">SUM(E51:E52)</f>
        <v>25966.32</v>
      </c>
      <c r="F54" s="31">
        <f t="shared" si="11"/>
        <v>1035.7</v>
      </c>
      <c r="G54" s="31">
        <f t="shared" si="11"/>
        <v>0</v>
      </c>
      <c r="H54" s="31">
        <f t="shared" si="11"/>
        <v>0</v>
      </c>
      <c r="I54" s="31">
        <f t="shared" si="11"/>
        <v>0</v>
      </c>
      <c r="J54" s="31">
        <f t="shared" si="11"/>
        <v>0</v>
      </c>
      <c r="K54" s="31">
        <f>SUM(D54:J54)</f>
        <v>52919.11</v>
      </c>
      <c r="L54" s="8"/>
      <c r="M54" s="8"/>
    </row>
    <row r="55" spans="1:13" ht="16.5" thickTop="1">
      <c r="A55" s="57"/>
      <c r="B55" s="57"/>
      <c r="C55" s="57"/>
      <c r="D55" s="57"/>
      <c r="E55" s="20"/>
      <c r="F55" s="20"/>
      <c r="G55" s="20"/>
      <c r="H55" s="20"/>
      <c r="I55" s="20"/>
      <c r="J55" s="20"/>
      <c r="K55" s="20"/>
      <c r="L55" s="8"/>
      <c r="M55" s="8"/>
    </row>
    <row r="56" spans="1:13">
      <c r="A56" s="57"/>
      <c r="B56" s="57"/>
      <c r="C56" s="57"/>
      <c r="D56" s="57"/>
      <c r="E56" s="20"/>
      <c r="F56" s="20"/>
      <c r="G56" s="20"/>
      <c r="H56" s="20"/>
      <c r="I56" s="20"/>
      <c r="J56" s="20"/>
      <c r="K56" s="20"/>
      <c r="L56" s="8"/>
      <c r="M56" s="8"/>
    </row>
    <row r="57" spans="1:13">
      <c r="A57" s="57">
        <v>29</v>
      </c>
      <c r="B57" s="57" t="s">
        <v>22</v>
      </c>
      <c r="C57" s="57" t="s">
        <v>12</v>
      </c>
      <c r="D57" s="20">
        <v>81222.960000000006</v>
      </c>
      <c r="E57" s="20">
        <v>80188.259999999995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f>SUM(D57:J58)</f>
        <v>161411.22</v>
      </c>
      <c r="L57" s="8"/>
      <c r="M57" s="8"/>
    </row>
    <row r="58" spans="1:13" hidden="1">
      <c r="A58" s="57"/>
      <c r="B58" s="57"/>
      <c r="C58" s="57" t="s">
        <v>35</v>
      </c>
      <c r="D58" s="20"/>
      <c r="E58" s="20"/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f>SUM(E58:J58)</f>
        <v>0</v>
      </c>
      <c r="L58" s="8"/>
      <c r="M58" s="8"/>
    </row>
    <row r="59" spans="1:13">
      <c r="A59" s="57"/>
      <c r="B59" s="57"/>
      <c r="C59" s="57" t="s">
        <v>13</v>
      </c>
      <c r="D59" s="20">
        <v>2256.1999999999998</v>
      </c>
      <c r="E59" s="20">
        <v>2292.38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f>SUM(D59:J59)</f>
        <v>4548.58</v>
      </c>
      <c r="L59" s="8"/>
      <c r="M59" s="8"/>
    </row>
    <row r="60" spans="1:13" hidden="1">
      <c r="A60" s="57"/>
      <c r="B60" s="57"/>
      <c r="C60" s="57" t="s">
        <v>78</v>
      </c>
      <c r="D60" s="57"/>
      <c r="E60" s="20"/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f>SUM(E60:J60)</f>
        <v>0</v>
      </c>
      <c r="L60" s="8"/>
      <c r="M60" s="8"/>
    </row>
    <row r="61" spans="1:13" ht="16.5" hidden="1" thickBot="1">
      <c r="A61" s="57"/>
      <c r="B61" s="57"/>
      <c r="C61" s="57" t="s">
        <v>114</v>
      </c>
      <c r="D61" s="57"/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f>SUM(E61:J61)</f>
        <v>0</v>
      </c>
      <c r="L61" s="8"/>
      <c r="M61" s="8"/>
    </row>
    <row r="62" spans="1:13">
      <c r="A62" s="57"/>
      <c r="B62" s="57"/>
      <c r="C62" s="57"/>
      <c r="D62" s="57"/>
      <c r="E62" s="20"/>
      <c r="F62" s="20"/>
      <c r="G62" s="20"/>
      <c r="H62" s="20"/>
      <c r="I62" s="20"/>
      <c r="J62" s="20"/>
      <c r="K62" s="20"/>
      <c r="L62" s="8"/>
      <c r="M62" s="8"/>
    </row>
    <row r="63" spans="1:13" ht="16.5" thickBot="1">
      <c r="A63" s="57"/>
      <c r="B63" s="57"/>
      <c r="C63" s="57" t="s">
        <v>10</v>
      </c>
      <c r="D63" s="31">
        <f>SUM(D57:D59)</f>
        <v>83479.16</v>
      </c>
      <c r="E63" s="31">
        <f t="shared" ref="E63:J63" si="12">SUM(E57:E61)</f>
        <v>82480.639999999999</v>
      </c>
      <c r="F63" s="31">
        <f t="shared" si="12"/>
        <v>0</v>
      </c>
      <c r="G63" s="31">
        <f t="shared" si="12"/>
        <v>0</v>
      </c>
      <c r="H63" s="31">
        <f t="shared" si="12"/>
        <v>0</v>
      </c>
      <c r="I63" s="31">
        <f t="shared" si="12"/>
        <v>0</v>
      </c>
      <c r="J63" s="31">
        <f t="shared" si="12"/>
        <v>0</v>
      </c>
      <c r="K63" s="31">
        <f>SUM(D63:J63)</f>
        <v>165959.79999999999</v>
      </c>
      <c r="L63" s="8"/>
      <c r="M63" s="8"/>
    </row>
    <row r="64" spans="1:13" ht="16.5" thickTop="1">
      <c r="A64" s="57"/>
      <c r="B64" s="57"/>
      <c r="C64" s="57"/>
      <c r="D64" s="57"/>
      <c r="E64" s="20"/>
      <c r="F64" s="20"/>
      <c r="G64" s="20"/>
      <c r="H64" s="20"/>
      <c r="I64" s="20"/>
      <c r="J64" s="20"/>
      <c r="K64" s="20"/>
      <c r="L64" s="8"/>
      <c r="M64" s="8"/>
    </row>
    <row r="65" spans="1:13">
      <c r="A65" s="57"/>
      <c r="B65" s="57"/>
      <c r="C65" s="57"/>
      <c r="D65" s="57"/>
      <c r="E65" s="20"/>
      <c r="F65" s="20"/>
      <c r="G65" s="20"/>
      <c r="H65" s="20"/>
      <c r="I65" s="20"/>
      <c r="J65" s="20"/>
      <c r="K65" s="20"/>
      <c r="L65" s="8"/>
      <c r="M65" s="8"/>
    </row>
    <row r="66" spans="1:13">
      <c r="A66" s="57">
        <v>30</v>
      </c>
      <c r="B66" s="57" t="s">
        <v>23</v>
      </c>
      <c r="C66" s="57" t="s">
        <v>12</v>
      </c>
      <c r="D66" s="20">
        <v>12617.7</v>
      </c>
      <c r="E66" s="20">
        <v>11568.59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f>SUM(D66:J66)</f>
        <v>24186.29</v>
      </c>
      <c r="L66" s="8"/>
      <c r="M66" s="8"/>
    </row>
    <row r="67" spans="1:13" ht="16.5" thickBot="1">
      <c r="A67" s="57"/>
      <c r="B67" s="57"/>
      <c r="C67" s="57" t="s">
        <v>116</v>
      </c>
      <c r="D67" s="29">
        <v>16442.47</v>
      </c>
      <c r="E67" s="29">
        <v>14504.18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f>SUM(D67:J67)</f>
        <v>30946.65</v>
      </c>
      <c r="L67" s="8"/>
      <c r="M67" s="8"/>
    </row>
    <row r="68" spans="1:13">
      <c r="A68" s="57"/>
      <c r="B68" s="57"/>
      <c r="C68" s="57"/>
      <c r="D68" s="57"/>
      <c r="E68" s="20"/>
      <c r="F68" s="20"/>
      <c r="G68" s="20"/>
      <c r="H68" s="20"/>
      <c r="I68" s="20"/>
      <c r="J68" s="20"/>
      <c r="K68" s="20"/>
      <c r="L68" s="8"/>
      <c r="M68" s="8"/>
    </row>
    <row r="69" spans="1:13" ht="16.5" thickBot="1">
      <c r="A69" s="57"/>
      <c r="B69" s="57"/>
      <c r="C69" s="61" t="s">
        <v>10</v>
      </c>
      <c r="D69" s="31">
        <f>SUM(D66:D67)</f>
        <v>29060.170000000002</v>
      </c>
      <c r="E69" s="31">
        <f t="shared" ref="E69:J69" si="13">SUM(E66:E67)</f>
        <v>26072.77</v>
      </c>
      <c r="F69" s="31">
        <f t="shared" si="13"/>
        <v>0</v>
      </c>
      <c r="G69" s="31">
        <f t="shared" si="13"/>
        <v>0</v>
      </c>
      <c r="H69" s="31">
        <f t="shared" si="13"/>
        <v>0</v>
      </c>
      <c r="I69" s="31">
        <f t="shared" si="13"/>
        <v>0</v>
      </c>
      <c r="J69" s="31">
        <f t="shared" si="13"/>
        <v>0</v>
      </c>
      <c r="K69" s="31">
        <f>SUM(D69:J69)</f>
        <v>55132.94</v>
      </c>
      <c r="L69" s="8"/>
      <c r="M69" s="8"/>
    </row>
    <row r="70" spans="1:13" ht="16.5" thickTop="1">
      <c r="A70" s="57"/>
      <c r="B70" s="57"/>
      <c r="C70" s="57"/>
      <c r="D70" s="57"/>
      <c r="E70" s="20"/>
      <c r="F70" s="20"/>
      <c r="G70" s="20"/>
      <c r="H70" s="20"/>
      <c r="I70" s="20"/>
      <c r="J70" s="20"/>
      <c r="K70" s="20"/>
      <c r="L70" s="8"/>
      <c r="M70" s="8"/>
    </row>
    <row r="71" spans="1:13">
      <c r="A71" s="57"/>
      <c r="B71" s="57"/>
      <c r="C71" s="57"/>
      <c r="D71" s="57"/>
      <c r="E71" s="20"/>
      <c r="F71" s="20"/>
      <c r="G71" s="20"/>
      <c r="H71" s="20"/>
      <c r="I71" s="20"/>
      <c r="J71" s="20"/>
      <c r="K71" s="20"/>
      <c r="L71" s="8"/>
      <c r="M71" s="8"/>
    </row>
    <row r="72" spans="1:13">
      <c r="A72" s="57">
        <v>31</v>
      </c>
      <c r="B72" s="57" t="s">
        <v>24</v>
      </c>
      <c r="C72" s="57" t="s">
        <v>12</v>
      </c>
      <c r="D72" s="20">
        <v>10967.6</v>
      </c>
      <c r="E72" s="20">
        <v>13415.11</v>
      </c>
      <c r="F72" s="20">
        <v>506.54</v>
      </c>
      <c r="G72" s="20">
        <v>0</v>
      </c>
      <c r="H72" s="20">
        <v>0</v>
      </c>
      <c r="I72" s="20">
        <v>0</v>
      </c>
      <c r="J72" s="20">
        <v>0</v>
      </c>
      <c r="K72" s="20">
        <f>SUM(D72:J72)</f>
        <v>24889.25</v>
      </c>
      <c r="L72" s="8"/>
      <c r="M72" s="8"/>
    </row>
    <row r="73" spans="1:13" ht="16.5" thickBot="1">
      <c r="A73" s="57"/>
      <c r="B73" s="57"/>
      <c r="C73" s="57" t="s">
        <v>13</v>
      </c>
      <c r="D73" s="29">
        <v>1325.69</v>
      </c>
      <c r="E73" s="29">
        <v>1543.92</v>
      </c>
      <c r="F73" s="29">
        <v>61.35</v>
      </c>
      <c r="G73" s="29">
        <v>0</v>
      </c>
      <c r="H73" s="29">
        <v>0</v>
      </c>
      <c r="I73" s="29">
        <v>0</v>
      </c>
      <c r="J73" s="29">
        <v>0</v>
      </c>
      <c r="K73" s="29">
        <f>SUM(D73:J73)</f>
        <v>2930.96</v>
      </c>
      <c r="L73" s="8"/>
      <c r="M73" s="8"/>
    </row>
    <row r="74" spans="1:13">
      <c r="A74" s="57"/>
      <c r="B74" s="57"/>
      <c r="C74" s="57"/>
      <c r="D74" s="57"/>
      <c r="E74" s="20"/>
      <c r="F74" s="20"/>
      <c r="G74" s="20"/>
      <c r="H74" s="20"/>
      <c r="I74" s="20"/>
      <c r="J74" s="20"/>
      <c r="K74" s="20"/>
      <c r="L74" s="8"/>
      <c r="M74" s="8"/>
    </row>
    <row r="75" spans="1:13" ht="16.5" thickBot="1">
      <c r="A75" s="57"/>
      <c r="B75" s="57"/>
      <c r="C75" s="57" t="s">
        <v>10</v>
      </c>
      <c r="D75" s="31">
        <f>SUM(D72:D73)</f>
        <v>12293.29</v>
      </c>
      <c r="E75" s="31">
        <f>SUM(E72:E73)</f>
        <v>14959.03</v>
      </c>
      <c r="F75" s="31">
        <f t="shared" ref="F75:J75" si="14">SUM(F72:F73)</f>
        <v>567.89</v>
      </c>
      <c r="G75" s="31">
        <f t="shared" si="14"/>
        <v>0</v>
      </c>
      <c r="H75" s="31">
        <f t="shared" si="14"/>
        <v>0</v>
      </c>
      <c r="I75" s="31">
        <f t="shared" si="14"/>
        <v>0</v>
      </c>
      <c r="J75" s="31">
        <f t="shared" si="14"/>
        <v>0</v>
      </c>
      <c r="K75" s="31">
        <f>SUM(D75:J75)</f>
        <v>27820.21</v>
      </c>
      <c r="L75" s="8"/>
      <c r="M75" s="8"/>
    </row>
    <row r="76" spans="1:13" ht="16.5" thickTop="1">
      <c r="A76" s="57"/>
      <c r="B76" s="57"/>
      <c r="C76" s="57"/>
      <c r="D76" s="57"/>
      <c r="E76" s="20"/>
      <c r="F76" s="20"/>
      <c r="G76" s="20"/>
      <c r="H76" s="20"/>
      <c r="I76" s="20"/>
      <c r="J76" s="20"/>
      <c r="K76" s="20"/>
      <c r="L76" s="8"/>
      <c r="M76" s="8"/>
    </row>
    <row r="77" spans="1:13">
      <c r="A77" s="57"/>
      <c r="B77" s="57"/>
      <c r="C77" s="57"/>
      <c r="D77" s="57"/>
      <c r="E77" s="20"/>
      <c r="F77" s="20"/>
      <c r="G77" s="20"/>
      <c r="H77" s="20"/>
      <c r="I77" s="20"/>
      <c r="J77" s="20"/>
      <c r="K77" s="20"/>
      <c r="L77" s="8"/>
      <c r="M77" s="8"/>
    </row>
    <row r="78" spans="1:13">
      <c r="A78" s="57">
        <v>32</v>
      </c>
      <c r="B78" s="57" t="s">
        <v>25</v>
      </c>
      <c r="C78" s="57" t="s">
        <v>12</v>
      </c>
      <c r="D78" s="20">
        <v>33280.47</v>
      </c>
      <c r="E78" s="20">
        <v>31657.18</v>
      </c>
      <c r="F78" s="20">
        <v>271.56</v>
      </c>
      <c r="G78" s="20">
        <v>0</v>
      </c>
      <c r="H78" s="20">
        <v>0</v>
      </c>
      <c r="I78" s="20">
        <v>0</v>
      </c>
      <c r="J78" s="20">
        <v>0</v>
      </c>
      <c r="K78" s="20">
        <f>SUM(D78:J78)</f>
        <v>65209.21</v>
      </c>
      <c r="L78" s="8"/>
      <c r="M78" s="8"/>
    </row>
    <row r="79" spans="1:13" ht="16.5" thickBot="1">
      <c r="A79" s="57"/>
      <c r="B79" s="57"/>
      <c r="C79" s="57" t="s">
        <v>13</v>
      </c>
      <c r="D79" s="29">
        <v>550.1</v>
      </c>
      <c r="E79" s="29">
        <v>597.96</v>
      </c>
      <c r="F79" s="29">
        <v>4.9800000000000004</v>
      </c>
      <c r="G79" s="29">
        <v>0</v>
      </c>
      <c r="H79" s="29">
        <v>0</v>
      </c>
      <c r="I79" s="29">
        <v>0</v>
      </c>
      <c r="J79" s="29">
        <v>0</v>
      </c>
      <c r="K79" s="29">
        <f>SUM(D79:J79)</f>
        <v>1153.04</v>
      </c>
      <c r="L79" s="8"/>
      <c r="M79" s="8"/>
    </row>
    <row r="80" spans="1:13" hidden="1">
      <c r="A80" s="57"/>
      <c r="B80" s="57"/>
      <c r="C80" s="57" t="s">
        <v>73</v>
      </c>
      <c r="D80" s="57"/>
      <c r="E80" s="20"/>
      <c r="F80" s="20"/>
      <c r="G80" s="20"/>
      <c r="H80" s="20"/>
      <c r="I80" s="20"/>
      <c r="J80" s="20"/>
      <c r="K80" s="20">
        <f>SUM(E80:J80)</f>
        <v>0</v>
      </c>
      <c r="L80" s="8"/>
      <c r="M80" s="8"/>
    </row>
    <row r="81" spans="1:13" ht="16.5" hidden="1" thickBot="1">
      <c r="A81" s="57"/>
      <c r="B81" s="57"/>
      <c r="C81" s="57" t="s">
        <v>78</v>
      </c>
      <c r="D81" s="57"/>
      <c r="E81" s="29"/>
      <c r="F81" s="29"/>
      <c r="G81" s="29"/>
      <c r="H81" s="29"/>
      <c r="I81" s="29"/>
      <c r="J81" s="29"/>
      <c r="K81" s="29">
        <f>SUM(E81:J81)</f>
        <v>0</v>
      </c>
      <c r="L81" s="8"/>
      <c r="M81" s="8"/>
    </row>
    <row r="82" spans="1:13">
      <c r="A82" s="57"/>
      <c r="B82" s="57"/>
      <c r="C82" s="57"/>
      <c r="D82" s="57"/>
      <c r="E82" s="20"/>
      <c r="F82" s="20"/>
      <c r="G82" s="20"/>
      <c r="H82" s="20"/>
      <c r="I82" s="20"/>
      <c r="J82" s="20"/>
      <c r="K82" s="20"/>
      <c r="L82" s="8"/>
      <c r="M82" s="8"/>
    </row>
    <row r="83" spans="1:13" ht="16.5" thickBot="1">
      <c r="A83" s="57"/>
      <c r="B83" s="57"/>
      <c r="C83" s="57" t="s">
        <v>10</v>
      </c>
      <c r="D83" s="31">
        <f t="shared" ref="D83:J83" si="15">SUM(D78:D81)</f>
        <v>33830.57</v>
      </c>
      <c r="E83" s="31">
        <f t="shared" si="15"/>
        <v>32255.14</v>
      </c>
      <c r="F83" s="31">
        <f t="shared" si="15"/>
        <v>276.54000000000002</v>
      </c>
      <c r="G83" s="31">
        <f t="shared" si="15"/>
        <v>0</v>
      </c>
      <c r="H83" s="31">
        <f t="shared" si="15"/>
        <v>0</v>
      </c>
      <c r="I83" s="31">
        <f t="shared" si="15"/>
        <v>0</v>
      </c>
      <c r="J83" s="31">
        <f t="shared" si="15"/>
        <v>0</v>
      </c>
      <c r="K83" s="31">
        <f>SUM(D83:J83)</f>
        <v>66362.249999999985</v>
      </c>
      <c r="L83" s="8"/>
      <c r="M83" s="8"/>
    </row>
    <row r="84" spans="1:13" ht="16.5" thickTop="1">
      <c r="A84" s="57"/>
      <c r="B84" s="57"/>
      <c r="C84" s="57"/>
      <c r="D84" s="57"/>
      <c r="E84" s="20"/>
      <c r="F84" s="20"/>
      <c r="G84" s="20"/>
      <c r="H84" s="20"/>
      <c r="I84" s="20"/>
      <c r="J84" s="20"/>
      <c r="K84" s="20"/>
      <c r="L84" s="8"/>
      <c r="M84" s="8"/>
    </row>
    <row r="85" spans="1:13">
      <c r="A85" s="57"/>
      <c r="B85" s="57"/>
      <c r="C85" s="57"/>
      <c r="D85" s="57"/>
      <c r="E85" s="20"/>
      <c r="F85" s="20"/>
      <c r="G85" s="20"/>
      <c r="H85" s="20"/>
      <c r="I85" s="20"/>
      <c r="J85" s="20"/>
      <c r="K85" s="20"/>
      <c r="L85" s="8"/>
      <c r="M85" s="8"/>
    </row>
    <row r="86" spans="1:13">
      <c r="A86" s="57">
        <v>33</v>
      </c>
      <c r="B86" s="57" t="s">
        <v>26</v>
      </c>
      <c r="C86" s="57" t="s">
        <v>12</v>
      </c>
      <c r="D86" s="20">
        <v>23848.84</v>
      </c>
      <c r="E86" s="20">
        <v>23871.69</v>
      </c>
      <c r="F86" s="20">
        <v>472.69</v>
      </c>
      <c r="G86" s="20">
        <v>0</v>
      </c>
      <c r="H86" s="20">
        <v>0</v>
      </c>
      <c r="I86" s="20">
        <v>0</v>
      </c>
      <c r="J86" s="20">
        <v>0</v>
      </c>
      <c r="K86" s="20">
        <f>SUM(D86:J86)</f>
        <v>48193.22</v>
      </c>
      <c r="L86" s="8"/>
      <c r="M86" s="8"/>
    </row>
    <row r="87" spans="1:13" ht="16.5" thickBot="1">
      <c r="A87" s="57"/>
      <c r="B87" s="57"/>
      <c r="C87" s="57" t="s">
        <v>13</v>
      </c>
      <c r="D87" s="29">
        <v>1555.98</v>
      </c>
      <c r="E87" s="29">
        <v>1710.97</v>
      </c>
      <c r="F87" s="29">
        <v>31.22</v>
      </c>
      <c r="G87" s="29">
        <v>0</v>
      </c>
      <c r="H87" s="29">
        <v>0</v>
      </c>
      <c r="I87" s="29">
        <v>0</v>
      </c>
      <c r="J87" s="29">
        <v>0</v>
      </c>
      <c r="K87" s="29">
        <f>SUM(D87:J87)</f>
        <v>3298.1699999999996</v>
      </c>
      <c r="L87" s="8"/>
      <c r="M87" s="8"/>
    </row>
    <row r="88" spans="1:13">
      <c r="A88" s="57"/>
      <c r="B88" s="57"/>
      <c r="C88" s="57"/>
      <c r="D88" s="57"/>
      <c r="E88" s="20"/>
      <c r="F88" s="20"/>
      <c r="G88" s="20"/>
      <c r="H88" s="20"/>
      <c r="I88" s="20"/>
      <c r="J88" s="20"/>
      <c r="K88" s="20"/>
      <c r="L88" s="8"/>
      <c r="M88" s="8"/>
    </row>
    <row r="89" spans="1:13" ht="16.5" thickBot="1">
      <c r="A89" s="57"/>
      <c r="B89" s="57"/>
      <c r="C89" s="57" t="s">
        <v>10</v>
      </c>
      <c r="D89" s="31">
        <f>SUM(D86:D87)</f>
        <v>25404.82</v>
      </c>
      <c r="E89" s="31">
        <f t="shared" ref="E89:J89" si="16">SUM(E86:E87)</f>
        <v>25582.66</v>
      </c>
      <c r="F89" s="31">
        <f t="shared" si="16"/>
        <v>503.90999999999997</v>
      </c>
      <c r="G89" s="31">
        <f t="shared" si="16"/>
        <v>0</v>
      </c>
      <c r="H89" s="31">
        <f t="shared" si="16"/>
        <v>0</v>
      </c>
      <c r="I89" s="31">
        <f t="shared" si="16"/>
        <v>0</v>
      </c>
      <c r="J89" s="31">
        <f t="shared" si="16"/>
        <v>0</v>
      </c>
      <c r="K89" s="31">
        <f>SUM(D89:J89)</f>
        <v>51491.39</v>
      </c>
      <c r="L89" s="8"/>
      <c r="M89" s="8"/>
    </row>
    <row r="90" spans="1:13" ht="16.5" thickTop="1">
      <c r="A90" s="57"/>
      <c r="B90" s="57"/>
      <c r="C90" s="57"/>
      <c r="D90" s="57"/>
      <c r="E90" s="20"/>
      <c r="F90" s="20"/>
      <c r="G90" s="20"/>
      <c r="H90" s="20"/>
      <c r="I90" s="20"/>
      <c r="J90" s="20"/>
      <c r="K90" s="20"/>
      <c r="L90" s="8"/>
      <c r="M90" s="8"/>
    </row>
    <row r="91" spans="1:13">
      <c r="A91" s="57"/>
      <c r="B91" s="57"/>
      <c r="C91" s="57"/>
      <c r="D91" s="57"/>
      <c r="E91" s="20"/>
      <c r="F91" s="20"/>
      <c r="G91" s="20"/>
      <c r="H91" s="20"/>
      <c r="I91" s="20"/>
      <c r="J91" s="20"/>
      <c r="K91" s="20"/>
      <c r="L91" s="8"/>
      <c r="M91" s="8"/>
    </row>
    <row r="92" spans="1:13">
      <c r="A92" s="57">
        <v>34</v>
      </c>
      <c r="B92" s="57" t="s">
        <v>27</v>
      </c>
      <c r="C92" s="57" t="s">
        <v>12</v>
      </c>
      <c r="D92" s="20">
        <v>17513.27</v>
      </c>
      <c r="E92" s="20">
        <v>26444.75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f>SUM(D92:J94)</f>
        <v>43958.020000000004</v>
      </c>
      <c r="L92" s="8"/>
      <c r="M92" s="8"/>
    </row>
    <row r="93" spans="1:13" hidden="1">
      <c r="A93" s="57"/>
      <c r="B93" s="57"/>
      <c r="C93" s="57" t="s">
        <v>35</v>
      </c>
      <c r="D93" s="20"/>
      <c r="E93" s="20"/>
      <c r="F93" s="20"/>
      <c r="G93" s="20"/>
      <c r="H93" s="20">
        <v>0</v>
      </c>
      <c r="I93" s="20">
        <v>0</v>
      </c>
      <c r="J93" s="20">
        <v>0</v>
      </c>
      <c r="K93" s="20">
        <f>SUM(E93:J93)</f>
        <v>0</v>
      </c>
      <c r="L93" s="8"/>
      <c r="M93" s="8"/>
    </row>
    <row r="94" spans="1:13" hidden="1">
      <c r="A94" s="57"/>
      <c r="B94" s="57"/>
      <c r="C94" s="57" t="s">
        <v>13</v>
      </c>
      <c r="D94" s="20"/>
      <c r="E94" s="20"/>
      <c r="F94" s="20"/>
      <c r="G94" s="20"/>
      <c r="H94" s="20">
        <v>0</v>
      </c>
      <c r="I94" s="20">
        <v>0</v>
      </c>
      <c r="J94" s="20">
        <v>0</v>
      </c>
      <c r="K94" s="20">
        <f>SUM(E94:J94)</f>
        <v>0</v>
      </c>
      <c r="L94" s="8"/>
      <c r="M94" s="8"/>
    </row>
    <row r="95" spans="1:13" ht="16.5" thickBot="1">
      <c r="A95" s="57"/>
      <c r="B95" s="57"/>
      <c r="C95" s="57" t="s">
        <v>13</v>
      </c>
      <c r="D95" s="29">
        <v>523.24</v>
      </c>
      <c r="E95" s="29">
        <v>553.88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f>SUM(D95:J95)</f>
        <v>1077.1199999999999</v>
      </c>
      <c r="L95" s="8"/>
      <c r="M95" s="8"/>
    </row>
    <row r="96" spans="1:13">
      <c r="A96" s="57"/>
      <c r="B96" s="57"/>
      <c r="C96" s="57"/>
      <c r="D96" s="57"/>
      <c r="E96" s="20"/>
      <c r="F96" s="20"/>
      <c r="G96" s="20"/>
      <c r="H96" s="20"/>
      <c r="I96" s="20"/>
      <c r="J96" s="20"/>
      <c r="K96" s="20"/>
      <c r="L96" s="8"/>
      <c r="M96" s="8"/>
    </row>
    <row r="97" spans="1:13" ht="16.5" thickBot="1">
      <c r="A97" s="57"/>
      <c r="B97" s="57"/>
      <c r="C97" s="57" t="s">
        <v>10</v>
      </c>
      <c r="D97" s="31">
        <f t="shared" ref="D97:J97" si="17">SUM(D92:D96)</f>
        <v>18036.510000000002</v>
      </c>
      <c r="E97" s="31">
        <f t="shared" si="17"/>
        <v>26998.63</v>
      </c>
      <c r="F97" s="31">
        <f t="shared" si="17"/>
        <v>0</v>
      </c>
      <c r="G97" s="31">
        <f t="shared" si="17"/>
        <v>0</v>
      </c>
      <c r="H97" s="31">
        <f t="shared" si="17"/>
        <v>0</v>
      </c>
      <c r="I97" s="31">
        <f t="shared" si="17"/>
        <v>0</v>
      </c>
      <c r="J97" s="31">
        <f t="shared" si="17"/>
        <v>0</v>
      </c>
      <c r="K97" s="31">
        <f>SUM(D97:J97)</f>
        <v>45035.14</v>
      </c>
      <c r="L97" s="8"/>
      <c r="M97" s="8"/>
    </row>
    <row r="98" spans="1:13" ht="16.5" thickTop="1">
      <c r="A98" s="57"/>
      <c r="B98" s="57"/>
      <c r="C98" s="57"/>
      <c r="D98" s="57"/>
      <c r="E98" s="20"/>
      <c r="F98" s="20"/>
      <c r="G98" s="20"/>
      <c r="H98" s="20"/>
      <c r="I98" s="20"/>
      <c r="J98" s="20"/>
      <c r="K98" s="20"/>
      <c r="L98" s="8"/>
      <c r="M98" s="8"/>
    </row>
    <row r="99" spans="1:13">
      <c r="A99" s="57"/>
      <c r="B99" s="57"/>
      <c r="C99" s="57"/>
      <c r="D99" s="57"/>
      <c r="E99" s="20"/>
      <c r="F99" s="20"/>
      <c r="G99" s="20"/>
      <c r="H99" s="20"/>
      <c r="I99" s="20"/>
      <c r="J99" s="20"/>
      <c r="K99" s="20"/>
      <c r="L99" s="8"/>
      <c r="M99" s="8"/>
    </row>
    <row r="100" spans="1:13">
      <c r="A100" s="57">
        <v>35</v>
      </c>
      <c r="B100" s="57" t="s">
        <v>28</v>
      </c>
      <c r="C100" s="57" t="s">
        <v>12</v>
      </c>
      <c r="D100" s="20">
        <v>14076.67</v>
      </c>
      <c r="E100" s="20">
        <v>15294.99</v>
      </c>
      <c r="F100" s="20">
        <v>60.09</v>
      </c>
      <c r="G100" s="20">
        <v>0</v>
      </c>
      <c r="H100" s="20">
        <v>0</v>
      </c>
      <c r="I100" s="20">
        <v>0</v>
      </c>
      <c r="J100" s="20">
        <v>0</v>
      </c>
      <c r="K100" s="20">
        <f>SUM(D100:J100)</f>
        <v>29431.75</v>
      </c>
      <c r="L100" s="8"/>
      <c r="M100" s="8"/>
    </row>
    <row r="101" spans="1:13" ht="16.5" thickBot="1">
      <c r="A101" s="57"/>
      <c r="B101" s="57"/>
      <c r="C101" s="57" t="s">
        <v>116</v>
      </c>
      <c r="D101" s="29">
        <v>7401.05</v>
      </c>
      <c r="E101" s="29">
        <v>8038.36</v>
      </c>
      <c r="F101" s="29">
        <v>32.479999999999997</v>
      </c>
      <c r="G101" s="29">
        <v>0</v>
      </c>
      <c r="H101" s="29"/>
      <c r="I101" s="29"/>
      <c r="J101" s="29"/>
      <c r="K101" s="29">
        <f>SUM(D101:J101)</f>
        <v>15471.89</v>
      </c>
      <c r="L101" s="8"/>
      <c r="M101" s="8"/>
    </row>
    <row r="102" spans="1:13">
      <c r="A102" s="57"/>
      <c r="B102" s="57"/>
      <c r="C102" s="57"/>
      <c r="D102" s="57"/>
      <c r="E102" s="20"/>
      <c r="F102" s="20"/>
      <c r="G102" s="20"/>
      <c r="H102" s="20"/>
      <c r="I102" s="20"/>
      <c r="J102" s="20"/>
      <c r="K102" s="20"/>
      <c r="L102" s="8"/>
      <c r="M102" s="8"/>
    </row>
    <row r="103" spans="1:13" ht="16.5" thickBot="1">
      <c r="A103" s="57"/>
      <c r="B103" s="57"/>
      <c r="C103" s="57" t="s">
        <v>10</v>
      </c>
      <c r="D103" s="31">
        <f>SUM(D100:D101)</f>
        <v>21477.72</v>
      </c>
      <c r="E103" s="31">
        <f t="shared" ref="E103:J103" si="18">SUM(E100:E102)</f>
        <v>23333.35</v>
      </c>
      <c r="F103" s="31">
        <f t="shared" si="18"/>
        <v>92.57</v>
      </c>
      <c r="G103" s="31">
        <f t="shared" si="18"/>
        <v>0</v>
      </c>
      <c r="H103" s="31">
        <f t="shared" si="18"/>
        <v>0</v>
      </c>
      <c r="I103" s="31">
        <f t="shared" si="18"/>
        <v>0</v>
      </c>
      <c r="J103" s="31">
        <f t="shared" si="18"/>
        <v>0</v>
      </c>
      <c r="K103" s="31">
        <f>SUM(D103:J103)</f>
        <v>44903.64</v>
      </c>
      <c r="L103" s="8"/>
      <c r="M103" s="8"/>
    </row>
    <row r="104" spans="1:13" ht="16.5" thickTop="1">
      <c r="A104" s="57"/>
      <c r="B104" s="57"/>
      <c r="C104" s="57"/>
      <c r="D104" s="57"/>
      <c r="E104" s="20"/>
      <c r="F104" s="20"/>
      <c r="G104" s="20"/>
      <c r="H104" s="20"/>
      <c r="I104" s="20"/>
      <c r="J104" s="20"/>
      <c r="K104" s="20"/>
      <c r="L104" s="8"/>
      <c r="M104" s="8"/>
    </row>
    <row r="105" spans="1:13">
      <c r="A105" s="57"/>
      <c r="B105" s="57"/>
      <c r="C105" s="57"/>
      <c r="D105" s="57"/>
      <c r="E105" s="20"/>
      <c r="F105" s="20"/>
      <c r="G105" s="20"/>
      <c r="H105" s="20"/>
      <c r="I105" s="20"/>
      <c r="J105" s="20"/>
      <c r="K105" s="20"/>
      <c r="L105" s="8"/>
      <c r="M105" s="8"/>
    </row>
    <row r="106" spans="1:13">
      <c r="A106" s="57">
        <v>36</v>
      </c>
      <c r="B106" s="57" t="s">
        <v>29</v>
      </c>
      <c r="C106" s="57" t="s">
        <v>12</v>
      </c>
      <c r="D106" s="20">
        <v>38877.620000000003</v>
      </c>
      <c r="E106" s="20">
        <v>33494.57</v>
      </c>
      <c r="F106" s="20">
        <v>342.05</v>
      </c>
      <c r="G106" s="20">
        <v>0</v>
      </c>
      <c r="H106" s="20">
        <v>0</v>
      </c>
      <c r="I106" s="20">
        <v>0</v>
      </c>
      <c r="J106" s="20">
        <v>0</v>
      </c>
      <c r="K106" s="20">
        <f>SUM(D106:J106)</f>
        <v>72714.240000000005</v>
      </c>
      <c r="L106" s="8"/>
      <c r="M106" s="8"/>
    </row>
    <row r="107" spans="1:13" hidden="1">
      <c r="A107" s="57"/>
      <c r="B107" s="57"/>
      <c r="C107" s="57" t="s">
        <v>13</v>
      </c>
      <c r="D107" s="20"/>
      <c r="E107" s="20"/>
      <c r="F107" s="20"/>
      <c r="G107" s="20"/>
      <c r="H107" s="20">
        <v>0</v>
      </c>
      <c r="I107" s="20">
        <v>0</v>
      </c>
      <c r="J107" s="20">
        <v>0</v>
      </c>
      <c r="K107" s="20">
        <f>SUM(E107:J107)</f>
        <v>0</v>
      </c>
      <c r="L107" s="8"/>
      <c r="M107" s="8"/>
    </row>
    <row r="108" spans="1:13" ht="16.5" thickBot="1">
      <c r="A108" s="57"/>
      <c r="B108" s="57"/>
      <c r="C108" s="57" t="s">
        <v>13</v>
      </c>
      <c r="D108" s="29">
        <v>536.91999999999996</v>
      </c>
      <c r="E108" s="29">
        <v>465.2</v>
      </c>
      <c r="F108" s="29">
        <v>4.37</v>
      </c>
      <c r="G108" s="29">
        <v>0</v>
      </c>
      <c r="H108" s="29">
        <v>0</v>
      </c>
      <c r="I108" s="29">
        <v>0</v>
      </c>
      <c r="J108" s="29">
        <v>0</v>
      </c>
      <c r="K108" s="29">
        <f>SUM(D108:J108)</f>
        <v>1006.4899999999999</v>
      </c>
      <c r="L108" s="8"/>
      <c r="M108" s="8"/>
    </row>
    <row r="109" spans="1:13">
      <c r="A109" s="57"/>
      <c r="B109" s="57"/>
      <c r="C109" s="57"/>
      <c r="D109" s="57"/>
      <c r="E109" s="20"/>
      <c r="F109" s="20"/>
      <c r="G109" s="20"/>
      <c r="H109" s="20"/>
      <c r="I109" s="20"/>
      <c r="J109" s="20"/>
      <c r="K109" s="20"/>
      <c r="L109" s="8"/>
      <c r="M109" s="8"/>
    </row>
    <row r="110" spans="1:13" ht="16.5" thickBot="1">
      <c r="A110" s="57"/>
      <c r="B110" s="57"/>
      <c r="C110" s="57" t="s">
        <v>10</v>
      </c>
      <c r="D110" s="31">
        <f t="shared" ref="D110:J110" si="19">SUM(D106:D108)</f>
        <v>39414.54</v>
      </c>
      <c r="E110" s="31">
        <f t="shared" si="19"/>
        <v>33959.769999999997</v>
      </c>
      <c r="F110" s="31">
        <f t="shared" si="19"/>
        <v>346.42</v>
      </c>
      <c r="G110" s="31">
        <f t="shared" si="19"/>
        <v>0</v>
      </c>
      <c r="H110" s="31">
        <f t="shared" si="19"/>
        <v>0</v>
      </c>
      <c r="I110" s="31">
        <f t="shared" si="19"/>
        <v>0</v>
      </c>
      <c r="J110" s="31">
        <f t="shared" si="19"/>
        <v>0</v>
      </c>
      <c r="K110" s="31">
        <f>SUM(D110:J110)</f>
        <v>73720.73</v>
      </c>
      <c r="L110" s="8"/>
      <c r="M110" s="8"/>
    </row>
    <row r="111" spans="1:13" ht="16.5" thickTop="1">
      <c r="A111" s="57"/>
      <c r="B111" s="57"/>
      <c r="C111" s="57"/>
      <c r="D111" s="57"/>
      <c r="E111" s="20"/>
      <c r="F111" s="20"/>
      <c r="G111" s="20"/>
      <c r="H111" s="20"/>
      <c r="I111" s="20"/>
      <c r="J111" s="20"/>
      <c r="K111" s="20"/>
      <c r="L111" s="8"/>
      <c r="M111" s="8"/>
    </row>
    <row r="112" spans="1:13">
      <c r="A112" s="57"/>
      <c r="B112" s="57"/>
      <c r="C112" s="57"/>
      <c r="D112" s="57"/>
      <c r="E112" s="20"/>
      <c r="F112" s="20"/>
      <c r="G112" s="20"/>
      <c r="H112" s="20"/>
      <c r="I112" s="20"/>
      <c r="J112" s="20"/>
      <c r="K112" s="20"/>
      <c r="L112" s="8"/>
      <c r="M112" s="8"/>
    </row>
    <row r="113" spans="1:13" ht="16.5" thickBot="1">
      <c r="A113" s="57">
        <v>37</v>
      </c>
      <c r="B113" s="57" t="s">
        <v>30</v>
      </c>
      <c r="C113" s="57" t="s">
        <v>12</v>
      </c>
      <c r="D113" s="29">
        <v>42156.27</v>
      </c>
      <c r="E113" s="29">
        <v>42119.99</v>
      </c>
      <c r="F113" s="29">
        <v>384.85</v>
      </c>
      <c r="G113" s="29">
        <v>0</v>
      </c>
      <c r="H113" s="29">
        <v>0</v>
      </c>
      <c r="I113" s="29">
        <v>0</v>
      </c>
      <c r="J113" s="29">
        <v>0</v>
      </c>
      <c r="K113" s="29">
        <f>SUM(D113:J113)</f>
        <v>84661.11</v>
      </c>
      <c r="L113" s="8"/>
      <c r="M113" s="8"/>
    </row>
    <row r="114" spans="1:13">
      <c r="A114" s="57"/>
      <c r="B114" s="57"/>
      <c r="C114" s="57"/>
      <c r="D114" s="57"/>
      <c r="E114" s="20"/>
      <c r="F114" s="20"/>
      <c r="G114" s="20"/>
      <c r="H114" s="20"/>
      <c r="I114" s="20"/>
      <c r="J114" s="20"/>
      <c r="K114" s="20"/>
      <c r="L114" s="8"/>
      <c r="M114" s="8"/>
    </row>
    <row r="115" spans="1:13" ht="16.5" thickBot="1">
      <c r="A115" s="57"/>
      <c r="B115" s="57"/>
      <c r="C115" s="57" t="s">
        <v>10</v>
      </c>
      <c r="D115" s="31">
        <f>SUM(D113)</f>
        <v>42156.27</v>
      </c>
      <c r="E115" s="31">
        <f t="shared" ref="E115:J115" si="20">SUM(E113:E114)</f>
        <v>42119.99</v>
      </c>
      <c r="F115" s="31">
        <f t="shared" si="20"/>
        <v>384.85</v>
      </c>
      <c r="G115" s="31">
        <f t="shared" si="20"/>
        <v>0</v>
      </c>
      <c r="H115" s="31">
        <f t="shared" si="20"/>
        <v>0</v>
      </c>
      <c r="I115" s="31">
        <f t="shared" si="20"/>
        <v>0</v>
      </c>
      <c r="J115" s="31">
        <f t="shared" si="20"/>
        <v>0</v>
      </c>
      <c r="K115" s="31">
        <f>SUM(D115:J115)</f>
        <v>84661.11</v>
      </c>
      <c r="L115" s="8"/>
      <c r="M115" s="8"/>
    </row>
    <row r="116" spans="1:13" ht="16.5" thickTop="1">
      <c r="A116" s="57"/>
      <c r="B116" s="57"/>
      <c r="C116" s="57"/>
      <c r="D116" s="57"/>
      <c r="E116" s="20"/>
      <c r="F116" s="20"/>
      <c r="G116" s="20"/>
      <c r="H116" s="20"/>
      <c r="I116" s="20"/>
      <c r="J116" s="20"/>
      <c r="K116" s="20"/>
      <c r="L116" s="8"/>
      <c r="M116" s="8"/>
    </row>
    <row r="117" spans="1:13">
      <c r="A117" s="57"/>
      <c r="B117" s="57"/>
      <c r="C117" s="57"/>
      <c r="D117" s="57"/>
      <c r="E117" s="20"/>
      <c r="F117" s="20"/>
      <c r="G117" s="20"/>
      <c r="H117" s="20"/>
      <c r="I117" s="20"/>
      <c r="J117" s="20"/>
      <c r="K117" s="20"/>
      <c r="L117" s="8"/>
      <c r="M117" s="8"/>
    </row>
    <row r="118" spans="1:13">
      <c r="A118" s="57">
        <v>38</v>
      </c>
      <c r="B118" s="57" t="s">
        <v>31</v>
      </c>
      <c r="C118" s="57" t="s">
        <v>12</v>
      </c>
      <c r="D118" s="20">
        <v>20712.47</v>
      </c>
      <c r="E118" s="20">
        <v>19826.12</v>
      </c>
      <c r="F118" s="20">
        <v>161.63999999999999</v>
      </c>
      <c r="G118" s="20">
        <v>0</v>
      </c>
      <c r="H118" s="20">
        <v>0</v>
      </c>
      <c r="I118" s="20">
        <v>0</v>
      </c>
      <c r="J118" s="20">
        <v>0</v>
      </c>
      <c r="K118" s="20">
        <f>SUM(D118:J119)</f>
        <v>40700.229999999996</v>
      </c>
      <c r="L118" s="8"/>
      <c r="M118" s="8"/>
    </row>
    <row r="119" spans="1:13" hidden="1">
      <c r="A119" s="57"/>
      <c r="B119" s="57"/>
      <c r="C119" s="57" t="s">
        <v>35</v>
      </c>
      <c r="D119" s="20"/>
      <c r="E119" s="20"/>
      <c r="F119" s="20"/>
      <c r="G119" s="20">
        <v>0</v>
      </c>
      <c r="H119" s="20">
        <v>0</v>
      </c>
      <c r="I119" s="20">
        <v>0</v>
      </c>
      <c r="J119" s="20">
        <v>0</v>
      </c>
      <c r="K119" s="20">
        <f>SUM(E119:J119)</f>
        <v>0</v>
      </c>
      <c r="L119" s="8"/>
      <c r="M119" s="8"/>
    </row>
    <row r="120" spans="1:13" ht="16.5" thickBot="1">
      <c r="A120" s="57"/>
      <c r="B120" s="57"/>
      <c r="C120" s="57" t="s">
        <v>13</v>
      </c>
      <c r="D120" s="29">
        <v>566.53</v>
      </c>
      <c r="E120" s="29">
        <v>539.12</v>
      </c>
      <c r="F120" s="29">
        <v>4.4000000000000004</v>
      </c>
      <c r="G120" s="29">
        <v>0</v>
      </c>
      <c r="H120" s="29">
        <v>0</v>
      </c>
      <c r="I120" s="29">
        <v>0</v>
      </c>
      <c r="J120" s="29">
        <v>0</v>
      </c>
      <c r="K120" s="29">
        <f>SUM(D120:J121)</f>
        <v>1110.0500000000002</v>
      </c>
      <c r="L120" s="8"/>
      <c r="M120" s="8"/>
    </row>
    <row r="121" spans="1:13" ht="16.5" hidden="1" thickBot="1">
      <c r="A121" s="57"/>
      <c r="B121" s="57"/>
      <c r="C121" s="57" t="s">
        <v>78</v>
      </c>
      <c r="D121" s="57"/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f>SUM(E121:J121)</f>
        <v>0</v>
      </c>
      <c r="L121" s="8"/>
      <c r="M121" s="8"/>
    </row>
    <row r="122" spans="1:13">
      <c r="A122" s="57"/>
      <c r="B122" s="57"/>
      <c r="C122" s="57"/>
      <c r="D122" s="57"/>
      <c r="E122" s="20"/>
      <c r="F122" s="20"/>
      <c r="G122" s="20"/>
      <c r="H122" s="20"/>
      <c r="I122" s="20"/>
      <c r="J122" s="20"/>
      <c r="K122" s="20"/>
      <c r="L122" s="8"/>
      <c r="M122" s="8"/>
    </row>
    <row r="123" spans="1:13" ht="16.5" thickBot="1">
      <c r="A123" s="57"/>
      <c r="B123" s="57"/>
      <c r="C123" s="57" t="s">
        <v>10</v>
      </c>
      <c r="D123" s="31">
        <f t="shared" ref="D123:J123" si="21">SUM(D118:D121)</f>
        <v>21279</v>
      </c>
      <c r="E123" s="31">
        <f t="shared" si="21"/>
        <v>20365.239999999998</v>
      </c>
      <c r="F123" s="31">
        <f t="shared" si="21"/>
        <v>166.04</v>
      </c>
      <c r="G123" s="31">
        <f t="shared" si="21"/>
        <v>0</v>
      </c>
      <c r="H123" s="31">
        <f t="shared" si="21"/>
        <v>0</v>
      </c>
      <c r="I123" s="31">
        <f t="shared" si="21"/>
        <v>0</v>
      </c>
      <c r="J123" s="31">
        <f t="shared" si="21"/>
        <v>0</v>
      </c>
      <c r="K123" s="31">
        <f>SUM(D123:J123)</f>
        <v>41810.28</v>
      </c>
      <c r="L123" s="8"/>
      <c r="M123" s="8"/>
    </row>
    <row r="124" spans="1:13" ht="16.5" thickTop="1">
      <c r="A124" s="57"/>
      <c r="B124" s="57"/>
      <c r="C124" s="57"/>
      <c r="D124" s="57"/>
      <c r="E124" s="20"/>
      <c r="F124" s="20"/>
      <c r="G124" s="20"/>
      <c r="H124" s="20"/>
      <c r="I124" s="20"/>
      <c r="J124" s="20"/>
      <c r="K124" s="20"/>
      <c r="L124" s="8"/>
      <c r="M124" s="8"/>
    </row>
    <row r="125" spans="1:13">
      <c r="A125" s="57"/>
      <c r="B125" s="57"/>
      <c r="C125" s="57"/>
      <c r="D125" s="57"/>
      <c r="E125" s="20"/>
      <c r="F125" s="20"/>
      <c r="G125" s="20"/>
      <c r="H125" s="20"/>
      <c r="I125" s="20"/>
      <c r="J125" s="20"/>
      <c r="K125" s="20"/>
      <c r="L125" s="8"/>
      <c r="M125" s="8"/>
    </row>
    <row r="126" spans="1:13" ht="16.5" thickBot="1">
      <c r="A126" s="57">
        <v>39</v>
      </c>
      <c r="B126" s="57" t="s">
        <v>32</v>
      </c>
      <c r="C126" s="57" t="s">
        <v>12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f>SUM(D126:J126)</f>
        <v>0</v>
      </c>
      <c r="L126" s="8"/>
      <c r="M126" s="8"/>
    </row>
    <row r="127" spans="1:13">
      <c r="A127" s="57"/>
      <c r="B127" s="57"/>
      <c r="C127" s="57"/>
      <c r="D127" s="57"/>
      <c r="E127" s="20"/>
      <c r="F127" s="20"/>
      <c r="G127" s="20"/>
      <c r="H127" s="20"/>
      <c r="I127" s="20"/>
      <c r="J127" s="20"/>
      <c r="K127" s="20"/>
      <c r="L127" s="8"/>
      <c r="M127" s="8"/>
    </row>
    <row r="128" spans="1:13" ht="16.5" thickBot="1">
      <c r="A128" s="57"/>
      <c r="B128" s="57"/>
      <c r="C128" s="57" t="s">
        <v>10</v>
      </c>
      <c r="D128" s="31">
        <f>D126</f>
        <v>0</v>
      </c>
      <c r="E128" s="31">
        <f>E126</f>
        <v>0</v>
      </c>
      <c r="F128" s="31">
        <f t="shared" ref="F128:J128" si="22">F126</f>
        <v>0</v>
      </c>
      <c r="G128" s="31">
        <f t="shared" si="22"/>
        <v>0</v>
      </c>
      <c r="H128" s="31">
        <f t="shared" si="22"/>
        <v>0</v>
      </c>
      <c r="I128" s="31">
        <f t="shared" si="22"/>
        <v>0</v>
      </c>
      <c r="J128" s="31">
        <f t="shared" si="22"/>
        <v>0</v>
      </c>
      <c r="K128" s="31">
        <f>K126</f>
        <v>0</v>
      </c>
      <c r="L128" s="8"/>
      <c r="M128" s="8"/>
    </row>
    <row r="129" spans="1:13" ht="16.5" thickTop="1">
      <c r="A129" s="57"/>
      <c r="B129" s="57"/>
      <c r="C129" s="57"/>
      <c r="D129" s="57"/>
      <c r="E129" s="20"/>
      <c r="F129" s="20"/>
      <c r="G129" s="20"/>
      <c r="H129" s="20"/>
      <c r="I129" s="20"/>
      <c r="J129" s="20"/>
      <c r="K129" s="20"/>
      <c r="L129" s="8"/>
      <c r="M129" s="8"/>
    </row>
    <row r="130" spans="1:13" ht="16.5" thickBot="1">
      <c r="A130" s="57">
        <v>40</v>
      </c>
      <c r="B130" s="57" t="s">
        <v>33</v>
      </c>
      <c r="C130" s="57" t="s">
        <v>12</v>
      </c>
      <c r="D130" s="29">
        <v>25212.53</v>
      </c>
      <c r="E130" s="29">
        <v>25673.15</v>
      </c>
      <c r="F130" s="29">
        <v>183.87</v>
      </c>
      <c r="G130" s="29">
        <v>0</v>
      </c>
      <c r="H130" s="29">
        <v>0</v>
      </c>
      <c r="I130" s="29">
        <v>0</v>
      </c>
      <c r="J130" s="29">
        <v>0</v>
      </c>
      <c r="K130" s="29">
        <f>SUM(D130:J130)</f>
        <v>51069.55</v>
      </c>
      <c r="L130" s="8"/>
      <c r="M130" s="8"/>
    </row>
    <row r="131" spans="1:13">
      <c r="A131" s="57"/>
      <c r="B131" s="57"/>
      <c r="C131" s="57"/>
      <c r="D131" s="57"/>
      <c r="E131" s="20"/>
      <c r="F131" s="20"/>
      <c r="G131" s="20"/>
      <c r="H131" s="20"/>
      <c r="I131" s="20"/>
      <c r="J131" s="20"/>
      <c r="K131" s="20"/>
      <c r="L131" s="8"/>
      <c r="M131" s="8"/>
    </row>
    <row r="132" spans="1:13" ht="16.5" thickBot="1">
      <c r="A132" s="57"/>
      <c r="B132" s="57"/>
      <c r="C132" s="57" t="s">
        <v>10</v>
      </c>
      <c r="D132" s="31">
        <f>SUM(D130)</f>
        <v>25212.53</v>
      </c>
      <c r="E132" s="31">
        <f t="shared" ref="E132:J132" si="23">SUM(E130:E131)</f>
        <v>25673.15</v>
      </c>
      <c r="F132" s="31">
        <f t="shared" si="23"/>
        <v>183.87</v>
      </c>
      <c r="G132" s="31">
        <f t="shared" si="23"/>
        <v>0</v>
      </c>
      <c r="H132" s="31">
        <f t="shared" si="23"/>
        <v>0</v>
      </c>
      <c r="I132" s="31">
        <f t="shared" si="23"/>
        <v>0</v>
      </c>
      <c r="J132" s="31">
        <f t="shared" si="23"/>
        <v>0</v>
      </c>
      <c r="K132" s="31">
        <f>SUM(D132:J132)</f>
        <v>51069.55</v>
      </c>
      <c r="L132" s="8"/>
      <c r="M132" s="8"/>
    </row>
    <row r="133" spans="1:13" ht="16.5" thickTop="1">
      <c r="A133" s="57"/>
      <c r="B133" s="57"/>
      <c r="C133" s="57"/>
      <c r="D133" s="57"/>
      <c r="E133" s="20"/>
      <c r="F133" s="20"/>
      <c r="G133" s="20"/>
      <c r="H133" s="20"/>
      <c r="I133" s="20"/>
      <c r="J133" s="20"/>
      <c r="K133" s="20"/>
      <c r="L133" s="8"/>
      <c r="M133" s="8"/>
    </row>
    <row r="134" spans="1:13">
      <c r="A134" s="57"/>
      <c r="B134" s="57"/>
      <c r="C134" s="57"/>
      <c r="D134" s="57"/>
      <c r="E134" s="20"/>
      <c r="F134" s="20"/>
      <c r="G134" s="20"/>
      <c r="H134" s="20"/>
      <c r="I134" s="20"/>
      <c r="J134" s="20"/>
      <c r="K134" s="20"/>
      <c r="L134" s="8"/>
      <c r="M134" s="8"/>
    </row>
    <row r="135" spans="1:13" ht="16.5" thickBot="1">
      <c r="A135" s="57">
        <v>41</v>
      </c>
      <c r="B135" s="57" t="s">
        <v>34</v>
      </c>
      <c r="C135" s="57" t="s">
        <v>12</v>
      </c>
      <c r="D135" s="29">
        <v>23118.16</v>
      </c>
      <c r="E135" s="29">
        <v>19057.12</v>
      </c>
      <c r="F135" s="29">
        <v>286.56</v>
      </c>
      <c r="G135" s="29">
        <v>0</v>
      </c>
      <c r="H135" s="29">
        <v>0</v>
      </c>
      <c r="I135" s="29">
        <v>0</v>
      </c>
      <c r="J135" s="29">
        <v>0</v>
      </c>
      <c r="K135" s="29">
        <f>SUM(D135:J135)</f>
        <v>42461.84</v>
      </c>
      <c r="L135" s="8"/>
      <c r="M135" s="8"/>
    </row>
    <row r="136" spans="1:13" hidden="1">
      <c r="A136" s="57"/>
      <c r="B136" s="57"/>
      <c r="C136" s="57" t="s">
        <v>35</v>
      </c>
      <c r="D136" s="57"/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f>SUM(E136:J136)</f>
        <v>0</v>
      </c>
      <c r="L136" s="8"/>
      <c r="M136" s="8"/>
    </row>
    <row r="137" spans="1:13" ht="16.5" hidden="1" thickBot="1">
      <c r="A137" s="57"/>
      <c r="B137" s="57"/>
      <c r="C137" s="57" t="s">
        <v>109</v>
      </c>
      <c r="D137" s="57"/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f>SUM(E137:J137)</f>
        <v>0</v>
      </c>
      <c r="L137" s="8"/>
      <c r="M137" s="8"/>
    </row>
    <row r="138" spans="1:13">
      <c r="A138" s="57"/>
      <c r="B138" s="57"/>
      <c r="C138" s="57"/>
      <c r="D138" s="57"/>
      <c r="E138" s="20"/>
      <c r="F138" s="20"/>
      <c r="G138" s="20"/>
      <c r="H138" s="20"/>
      <c r="I138" s="20"/>
      <c r="J138" s="20"/>
      <c r="K138" s="20"/>
      <c r="L138" s="8"/>
      <c r="M138" s="8"/>
    </row>
    <row r="139" spans="1:13" ht="16.5" thickBot="1">
      <c r="A139" s="57"/>
      <c r="B139" s="57"/>
      <c r="C139" s="57" t="s">
        <v>10</v>
      </c>
      <c r="D139" s="31">
        <f>SUM(D135)</f>
        <v>23118.16</v>
      </c>
      <c r="E139" s="31">
        <f t="shared" ref="E139:J139" si="24">SUM(E135:E137)</f>
        <v>19057.12</v>
      </c>
      <c r="F139" s="31">
        <f t="shared" si="24"/>
        <v>286.56</v>
      </c>
      <c r="G139" s="31">
        <f t="shared" si="24"/>
        <v>0</v>
      </c>
      <c r="H139" s="31">
        <f t="shared" si="24"/>
        <v>0</v>
      </c>
      <c r="I139" s="31">
        <f t="shared" si="24"/>
        <v>0</v>
      </c>
      <c r="J139" s="31">
        <f t="shared" si="24"/>
        <v>0</v>
      </c>
      <c r="K139" s="31">
        <f>SUM(D139:J139)</f>
        <v>42461.84</v>
      </c>
      <c r="L139" s="8"/>
      <c r="M139" s="8"/>
    </row>
    <row r="140" spans="1:13" ht="16.5" thickTop="1">
      <c r="A140" s="57"/>
      <c r="B140" s="57"/>
      <c r="C140" s="57"/>
      <c r="D140" s="57"/>
      <c r="E140" s="20"/>
      <c r="F140" s="20"/>
      <c r="G140" s="20"/>
      <c r="H140" s="20"/>
      <c r="I140" s="20"/>
      <c r="J140" s="20"/>
      <c r="K140" s="20"/>
      <c r="L140" s="8"/>
      <c r="M140" s="8"/>
    </row>
    <row r="141" spans="1:13">
      <c r="A141" s="57"/>
      <c r="B141" s="57"/>
      <c r="C141" s="57"/>
      <c r="D141" s="57"/>
      <c r="E141" s="20"/>
      <c r="F141" s="20"/>
      <c r="G141" s="20"/>
      <c r="H141" s="20"/>
      <c r="I141" s="20"/>
      <c r="J141" s="20"/>
      <c r="K141" s="20"/>
      <c r="L141" s="8"/>
      <c r="M141" s="8"/>
    </row>
    <row r="142" spans="1:13">
      <c r="A142" s="57">
        <v>42</v>
      </c>
      <c r="B142" s="57" t="s">
        <v>36</v>
      </c>
      <c r="C142" s="57" t="s">
        <v>12</v>
      </c>
      <c r="D142" s="39">
        <v>19869.25</v>
      </c>
      <c r="E142" s="39">
        <v>21836.27</v>
      </c>
      <c r="F142" s="20">
        <v>88.34</v>
      </c>
      <c r="G142" s="39">
        <v>0</v>
      </c>
      <c r="H142" s="20">
        <v>0</v>
      </c>
      <c r="I142" s="20">
        <v>0</v>
      </c>
      <c r="J142" s="20">
        <v>0</v>
      </c>
      <c r="K142" s="20">
        <f>SUM(D142:J142)</f>
        <v>41793.86</v>
      </c>
      <c r="L142" s="8"/>
      <c r="M142" s="8"/>
    </row>
    <row r="143" spans="1:13" ht="16.5" thickBot="1">
      <c r="A143" s="57"/>
      <c r="B143" s="57"/>
      <c r="C143" s="57" t="s">
        <v>13</v>
      </c>
      <c r="D143" s="29">
        <v>1084.5899999999999</v>
      </c>
      <c r="E143" s="29">
        <v>1310.18</v>
      </c>
      <c r="F143" s="29">
        <v>5.48</v>
      </c>
      <c r="G143" s="29">
        <v>0</v>
      </c>
      <c r="H143" s="29">
        <v>0</v>
      </c>
      <c r="I143" s="29">
        <v>0</v>
      </c>
      <c r="J143" s="29">
        <v>0</v>
      </c>
      <c r="K143" s="29">
        <f>SUM(D143:J143)</f>
        <v>2400.25</v>
      </c>
      <c r="L143" s="8"/>
      <c r="M143" s="8"/>
    </row>
    <row r="144" spans="1:13">
      <c r="A144" s="57"/>
      <c r="B144" s="57"/>
      <c r="C144" s="57"/>
      <c r="D144" s="57"/>
      <c r="E144" s="20"/>
      <c r="F144" s="20"/>
      <c r="G144" s="20"/>
      <c r="H144" s="20"/>
      <c r="I144" s="20"/>
      <c r="J144" s="20"/>
      <c r="K144" s="20"/>
      <c r="L144" s="8"/>
      <c r="M144" s="8"/>
    </row>
    <row r="145" spans="1:13" ht="16.5" thickBot="1">
      <c r="A145" s="57"/>
      <c r="B145" s="57"/>
      <c r="C145" s="57" t="s">
        <v>10</v>
      </c>
      <c r="D145" s="31">
        <f t="shared" ref="D145:J145" si="25">SUM(D142:D143)</f>
        <v>20953.84</v>
      </c>
      <c r="E145" s="31">
        <f t="shared" si="25"/>
        <v>23146.45</v>
      </c>
      <c r="F145" s="31">
        <f t="shared" si="25"/>
        <v>93.820000000000007</v>
      </c>
      <c r="G145" s="31">
        <f t="shared" si="25"/>
        <v>0</v>
      </c>
      <c r="H145" s="31">
        <f t="shared" si="25"/>
        <v>0</v>
      </c>
      <c r="I145" s="31">
        <f t="shared" si="25"/>
        <v>0</v>
      </c>
      <c r="J145" s="31">
        <f t="shared" si="25"/>
        <v>0</v>
      </c>
      <c r="K145" s="31">
        <f>SUM(D145:J145)</f>
        <v>44194.11</v>
      </c>
      <c r="L145" s="8"/>
      <c r="M145" s="8"/>
    </row>
    <row r="146" spans="1:13" ht="16.5" thickTop="1">
      <c r="A146" s="57"/>
      <c r="B146" s="57"/>
      <c r="C146" s="57"/>
      <c r="D146" s="57"/>
      <c r="E146" s="20"/>
      <c r="F146" s="20"/>
      <c r="G146" s="20"/>
      <c r="H146" s="20"/>
      <c r="I146" s="20"/>
      <c r="J146" s="20"/>
      <c r="K146" s="20"/>
      <c r="L146" s="8"/>
      <c r="M146" s="8"/>
    </row>
    <row r="147" spans="1:13">
      <c r="A147" s="57"/>
      <c r="B147" s="57"/>
      <c r="C147" s="57"/>
      <c r="D147" s="57"/>
      <c r="E147" s="20"/>
      <c r="F147" s="20"/>
      <c r="G147" s="20"/>
      <c r="H147" s="20"/>
      <c r="I147" s="20"/>
      <c r="J147" s="20"/>
      <c r="K147" s="20"/>
      <c r="L147" s="8"/>
      <c r="M147" s="8"/>
    </row>
    <row r="148" spans="1:13">
      <c r="A148" s="57">
        <v>43</v>
      </c>
      <c r="B148" s="57" t="s">
        <v>37</v>
      </c>
      <c r="C148" s="57" t="s">
        <v>12</v>
      </c>
      <c r="D148" s="39">
        <v>29545.32</v>
      </c>
      <c r="E148" s="39">
        <v>27307.16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f>SUM(D148:J148)</f>
        <v>56852.479999999996</v>
      </c>
      <c r="L148" s="8"/>
      <c r="M148" s="8"/>
    </row>
    <row r="149" spans="1:13" hidden="1">
      <c r="A149" s="57"/>
      <c r="B149" s="57"/>
      <c r="C149" s="57" t="s">
        <v>35</v>
      </c>
      <c r="D149" s="20"/>
      <c r="E149" s="20"/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f>SUM(E149:J149)</f>
        <v>0</v>
      </c>
      <c r="L149" s="8"/>
      <c r="M149" s="8"/>
    </row>
    <row r="150" spans="1:13" ht="16.5" thickBot="1">
      <c r="A150" s="57"/>
      <c r="B150" s="57"/>
      <c r="C150" s="57" t="s">
        <v>13</v>
      </c>
      <c r="D150" s="29">
        <v>804.29</v>
      </c>
      <c r="E150" s="29">
        <v>758.54</v>
      </c>
      <c r="F150" s="29">
        <v>0</v>
      </c>
      <c r="G150" s="50">
        <v>0</v>
      </c>
      <c r="H150" s="29">
        <v>0</v>
      </c>
      <c r="I150" s="29">
        <v>0</v>
      </c>
      <c r="J150" s="29">
        <v>0</v>
      </c>
      <c r="K150" s="29">
        <f>SUM(D150:J151)</f>
        <v>1562.83</v>
      </c>
      <c r="L150" s="8"/>
      <c r="M150" s="8"/>
    </row>
    <row r="151" spans="1:13" ht="16.5" hidden="1" thickBot="1">
      <c r="A151" s="57"/>
      <c r="B151" s="57"/>
      <c r="C151" s="57" t="s">
        <v>78</v>
      </c>
      <c r="D151" s="57"/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f>SUM(E151:J151)</f>
        <v>0</v>
      </c>
      <c r="L151" s="8"/>
      <c r="M151" s="8"/>
    </row>
    <row r="152" spans="1:13">
      <c r="A152" s="57"/>
      <c r="B152" s="57"/>
      <c r="C152" s="57"/>
      <c r="D152" s="57"/>
      <c r="E152" s="20"/>
      <c r="F152" s="20"/>
      <c r="G152" s="20"/>
      <c r="H152" s="20"/>
      <c r="I152" s="20"/>
      <c r="J152" s="20"/>
      <c r="K152" s="20"/>
      <c r="L152" s="8"/>
      <c r="M152" s="8"/>
    </row>
    <row r="153" spans="1:13" ht="16.5" thickBot="1">
      <c r="A153" s="57"/>
      <c r="B153" s="57"/>
      <c r="C153" s="57" t="s">
        <v>10</v>
      </c>
      <c r="D153" s="31">
        <f t="shared" ref="D153:J153" si="26">SUM(D148:D151)</f>
        <v>30349.61</v>
      </c>
      <c r="E153" s="31">
        <f t="shared" si="26"/>
        <v>28065.7</v>
      </c>
      <c r="F153" s="31">
        <f>SUM(F148:F152)</f>
        <v>0</v>
      </c>
      <c r="G153" s="31">
        <f t="shared" si="26"/>
        <v>0</v>
      </c>
      <c r="H153" s="31">
        <f t="shared" si="26"/>
        <v>0</v>
      </c>
      <c r="I153" s="31">
        <f t="shared" si="26"/>
        <v>0</v>
      </c>
      <c r="J153" s="31">
        <f t="shared" si="26"/>
        <v>0</v>
      </c>
      <c r="K153" s="31">
        <f>SUM(D153:J153)</f>
        <v>58415.31</v>
      </c>
      <c r="L153" s="8"/>
      <c r="M153" s="8"/>
    </row>
    <row r="154" spans="1:13" ht="16.5" thickTop="1">
      <c r="A154" s="57"/>
      <c r="B154" s="57"/>
      <c r="C154" s="57"/>
      <c r="D154" s="57"/>
      <c r="E154" s="20"/>
      <c r="F154" s="20"/>
      <c r="G154" s="20"/>
      <c r="H154" s="20"/>
      <c r="I154" s="20"/>
      <c r="J154" s="20"/>
      <c r="K154" s="20"/>
      <c r="L154" s="8"/>
      <c r="M154" s="8"/>
    </row>
    <row r="155" spans="1:13">
      <c r="A155" s="57"/>
      <c r="B155" s="57"/>
      <c r="C155" s="57"/>
      <c r="D155" s="57"/>
      <c r="E155" s="20"/>
      <c r="F155" s="20"/>
      <c r="G155" s="20"/>
      <c r="H155" s="20"/>
      <c r="I155" s="20"/>
      <c r="J155" s="20"/>
      <c r="K155" s="20"/>
      <c r="L155" s="8"/>
      <c r="M155" s="8"/>
    </row>
    <row r="156" spans="1:13" ht="16.5" thickBot="1">
      <c r="A156" s="57">
        <v>44</v>
      </c>
      <c r="B156" s="57" t="s">
        <v>38</v>
      </c>
      <c r="C156" s="57" t="s">
        <v>12</v>
      </c>
      <c r="D156" s="29">
        <v>23482.84</v>
      </c>
      <c r="E156" s="29">
        <v>24686.06</v>
      </c>
      <c r="F156" s="29">
        <v>784.03</v>
      </c>
      <c r="G156" s="29">
        <v>0</v>
      </c>
      <c r="H156" s="29">
        <v>0</v>
      </c>
      <c r="I156" s="29">
        <v>0</v>
      </c>
      <c r="J156" s="29">
        <v>0</v>
      </c>
      <c r="K156" s="29">
        <f>SUM(D156:J156)</f>
        <v>48952.93</v>
      </c>
      <c r="L156" s="8"/>
      <c r="M156" s="8"/>
    </row>
    <row r="157" spans="1:13">
      <c r="A157" s="57"/>
      <c r="B157" s="57"/>
      <c r="C157" s="57"/>
      <c r="D157" s="57"/>
      <c r="E157" s="20"/>
      <c r="F157" s="20"/>
      <c r="G157" s="20"/>
      <c r="H157" s="20"/>
      <c r="I157" s="20"/>
      <c r="J157" s="20"/>
      <c r="K157" s="20"/>
      <c r="L157" s="8"/>
      <c r="M157" s="8"/>
    </row>
    <row r="158" spans="1:13" ht="16.5" thickBot="1">
      <c r="A158" s="57"/>
      <c r="B158" s="57"/>
      <c r="C158" s="57" t="s">
        <v>10</v>
      </c>
      <c r="D158" s="31">
        <f t="shared" ref="D158:J158" si="27">SUM(D156:D157)</f>
        <v>23482.84</v>
      </c>
      <c r="E158" s="31">
        <f t="shared" si="27"/>
        <v>24686.06</v>
      </c>
      <c r="F158" s="31">
        <f t="shared" si="27"/>
        <v>784.03</v>
      </c>
      <c r="G158" s="31">
        <f t="shared" si="27"/>
        <v>0</v>
      </c>
      <c r="H158" s="31">
        <f t="shared" si="27"/>
        <v>0</v>
      </c>
      <c r="I158" s="31">
        <f t="shared" si="27"/>
        <v>0</v>
      </c>
      <c r="J158" s="31">
        <f t="shared" si="27"/>
        <v>0</v>
      </c>
      <c r="K158" s="31">
        <f>SUM(D158:J158)</f>
        <v>48952.93</v>
      </c>
      <c r="L158" s="8"/>
      <c r="M158" s="8"/>
    </row>
    <row r="159" spans="1:13" ht="16.5" thickTop="1">
      <c r="A159" s="57"/>
      <c r="B159" s="57"/>
      <c r="C159" s="57"/>
      <c r="D159" s="57"/>
      <c r="E159" s="20"/>
      <c r="F159" s="20"/>
      <c r="G159" s="20"/>
      <c r="H159" s="20" t="s">
        <v>70</v>
      </c>
      <c r="I159" s="20" t="s">
        <v>70</v>
      </c>
      <c r="J159" s="20" t="s">
        <v>70</v>
      </c>
      <c r="K159" s="20"/>
      <c r="L159" s="8"/>
      <c r="M159" s="8"/>
    </row>
    <row r="160" spans="1:13">
      <c r="A160" s="57"/>
      <c r="B160" s="57"/>
      <c r="C160" s="57"/>
      <c r="D160" s="57"/>
      <c r="E160" s="20"/>
      <c r="F160" s="20"/>
      <c r="G160" s="20"/>
      <c r="H160" s="20"/>
      <c r="I160" s="20"/>
      <c r="J160" s="20"/>
      <c r="K160" s="20"/>
      <c r="L160" s="8"/>
      <c r="M160" s="8"/>
    </row>
    <row r="161" spans="1:13">
      <c r="A161" s="57">
        <v>45</v>
      </c>
      <c r="B161" s="57" t="s">
        <v>39</v>
      </c>
      <c r="C161" s="57" t="s">
        <v>12</v>
      </c>
      <c r="D161" s="20">
        <v>4501.26</v>
      </c>
      <c r="E161" s="20">
        <v>7665.44</v>
      </c>
      <c r="F161" s="20">
        <v>411.67</v>
      </c>
      <c r="G161" s="20">
        <v>0</v>
      </c>
      <c r="H161" s="20">
        <v>0</v>
      </c>
      <c r="I161" s="20">
        <v>0</v>
      </c>
      <c r="J161" s="20">
        <v>0</v>
      </c>
      <c r="K161" s="20">
        <f>SUM(D161:J161)</f>
        <v>12578.37</v>
      </c>
      <c r="L161" s="8"/>
      <c r="M161" s="8"/>
    </row>
    <row r="162" spans="1:13" ht="16.5" thickBot="1">
      <c r="A162" s="57"/>
      <c r="B162" s="57"/>
      <c r="C162" s="57" t="s">
        <v>116</v>
      </c>
      <c r="D162" s="29">
        <v>7306.26</v>
      </c>
      <c r="E162" s="29">
        <v>7197.81</v>
      </c>
      <c r="F162" s="29">
        <v>385.2</v>
      </c>
      <c r="G162" s="29">
        <v>0</v>
      </c>
      <c r="H162" s="29">
        <v>0</v>
      </c>
      <c r="I162" s="29">
        <v>0</v>
      </c>
      <c r="J162" s="29">
        <v>0</v>
      </c>
      <c r="K162" s="29">
        <f>SUM(D162:J162)</f>
        <v>14889.27</v>
      </c>
      <c r="L162" s="8"/>
      <c r="M162" s="8"/>
    </row>
    <row r="163" spans="1:13">
      <c r="A163" s="57"/>
      <c r="B163" s="57"/>
      <c r="C163" s="57"/>
      <c r="D163" s="57"/>
      <c r="E163" s="20"/>
      <c r="F163" s="20"/>
      <c r="G163" s="20"/>
      <c r="H163" s="20"/>
      <c r="I163" s="20"/>
      <c r="J163" s="20"/>
      <c r="K163" s="20"/>
      <c r="L163" s="8"/>
      <c r="M163" s="8"/>
    </row>
    <row r="164" spans="1:13" ht="16.5" thickBot="1">
      <c r="A164" s="57"/>
      <c r="B164" s="57"/>
      <c r="C164" s="57" t="s">
        <v>10</v>
      </c>
      <c r="D164" s="31">
        <f>SUM(D161:D162)</f>
        <v>11807.52</v>
      </c>
      <c r="E164" s="31">
        <f t="shared" ref="E164:J164" si="28">SUM(E161:E163)</f>
        <v>14863.25</v>
      </c>
      <c r="F164" s="31">
        <f t="shared" si="28"/>
        <v>796.87</v>
      </c>
      <c r="G164" s="31">
        <f t="shared" si="28"/>
        <v>0</v>
      </c>
      <c r="H164" s="31">
        <f t="shared" si="28"/>
        <v>0</v>
      </c>
      <c r="I164" s="31">
        <f t="shared" si="28"/>
        <v>0</v>
      </c>
      <c r="J164" s="31">
        <f t="shared" si="28"/>
        <v>0</v>
      </c>
      <c r="K164" s="31">
        <f>SUM(D164:J164)</f>
        <v>27467.64</v>
      </c>
      <c r="L164" s="8"/>
      <c r="M164" s="8"/>
    </row>
    <row r="165" spans="1:13" ht="16.5" thickTop="1">
      <c r="A165" s="57"/>
      <c r="B165" s="57"/>
      <c r="C165" s="57"/>
      <c r="D165" s="57"/>
      <c r="E165" s="20"/>
      <c r="F165" s="20"/>
      <c r="G165" s="20"/>
      <c r="H165" s="20"/>
      <c r="I165" s="20"/>
      <c r="J165" s="20"/>
      <c r="K165" s="20"/>
      <c r="L165" s="8"/>
      <c r="M165" s="8"/>
    </row>
    <row r="166" spans="1:13">
      <c r="A166" s="57"/>
      <c r="B166" s="57"/>
      <c r="C166" s="57"/>
      <c r="D166" s="57"/>
      <c r="E166" s="20"/>
      <c r="F166" s="20"/>
      <c r="G166" s="20"/>
      <c r="H166" s="20"/>
      <c r="I166" s="20"/>
      <c r="J166" s="20"/>
      <c r="K166" s="20"/>
      <c r="L166" s="8"/>
      <c r="M166" s="8"/>
    </row>
    <row r="167" spans="1:13" ht="16.5" thickBot="1">
      <c r="A167" s="57">
        <v>46</v>
      </c>
      <c r="B167" s="57" t="s">
        <v>40</v>
      </c>
      <c r="C167" s="57" t="s">
        <v>12</v>
      </c>
      <c r="D167" s="29">
        <v>12441.42</v>
      </c>
      <c r="E167" s="29">
        <v>14274.19</v>
      </c>
      <c r="F167" s="29">
        <v>96.32</v>
      </c>
      <c r="G167" s="29">
        <v>0</v>
      </c>
      <c r="H167" s="29">
        <v>0</v>
      </c>
      <c r="I167" s="29">
        <v>0</v>
      </c>
      <c r="J167" s="29">
        <v>0</v>
      </c>
      <c r="K167" s="29">
        <f>SUM(D167:J167)</f>
        <v>26811.93</v>
      </c>
      <c r="L167" s="8"/>
      <c r="M167" s="8"/>
    </row>
    <row r="168" spans="1:13">
      <c r="A168" s="57"/>
      <c r="B168" s="57"/>
      <c r="C168" s="57"/>
      <c r="D168" s="57"/>
      <c r="E168" s="20"/>
      <c r="F168" s="20"/>
      <c r="G168" s="20"/>
      <c r="H168" s="20"/>
      <c r="I168" s="20"/>
      <c r="J168" s="20"/>
      <c r="K168" s="20"/>
      <c r="L168" s="8"/>
      <c r="M168" s="8"/>
    </row>
    <row r="169" spans="1:13" ht="16.5" thickBot="1">
      <c r="A169" s="57"/>
      <c r="B169" s="57"/>
      <c r="C169" s="57" t="s">
        <v>10</v>
      </c>
      <c r="D169" s="31">
        <f>SUM(D167)</f>
        <v>12441.42</v>
      </c>
      <c r="E169" s="31">
        <f t="shared" ref="E169:J169" si="29">SUM(E167:E168)</f>
        <v>14274.19</v>
      </c>
      <c r="F169" s="31">
        <f t="shared" si="29"/>
        <v>96.32</v>
      </c>
      <c r="G169" s="31">
        <f t="shared" si="29"/>
        <v>0</v>
      </c>
      <c r="H169" s="31">
        <f t="shared" si="29"/>
        <v>0</v>
      </c>
      <c r="I169" s="31">
        <f t="shared" si="29"/>
        <v>0</v>
      </c>
      <c r="J169" s="31">
        <f t="shared" si="29"/>
        <v>0</v>
      </c>
      <c r="K169" s="31">
        <f>SUM(D169:J169)</f>
        <v>26811.93</v>
      </c>
      <c r="L169" s="8"/>
      <c r="M169" s="8"/>
    </row>
    <row r="170" spans="1:13" ht="16.5" thickTop="1">
      <c r="A170" s="57"/>
      <c r="B170" s="57"/>
      <c r="C170" s="57"/>
      <c r="D170" s="57"/>
      <c r="E170" s="20"/>
      <c r="F170" s="20"/>
      <c r="G170" s="20"/>
      <c r="H170" s="20"/>
      <c r="I170" s="20"/>
      <c r="J170" s="20"/>
      <c r="K170" s="20"/>
      <c r="L170" s="8"/>
      <c r="M170" s="8"/>
    </row>
    <row r="171" spans="1:13">
      <c r="A171" s="57"/>
      <c r="B171" s="57"/>
      <c r="C171" s="57"/>
      <c r="D171" s="57"/>
      <c r="E171" s="20"/>
      <c r="F171" s="20"/>
      <c r="G171" s="20"/>
      <c r="H171" s="20"/>
      <c r="I171" s="20"/>
      <c r="J171" s="20"/>
      <c r="K171" s="20"/>
      <c r="L171" s="8"/>
      <c r="M171" s="8"/>
    </row>
    <row r="172" spans="1:13" ht="16.5" thickBot="1">
      <c r="A172" s="57">
        <v>47</v>
      </c>
      <c r="B172" s="57" t="s">
        <v>41</v>
      </c>
      <c r="C172" s="57" t="s">
        <v>12</v>
      </c>
      <c r="D172" s="29">
        <v>18621.3</v>
      </c>
      <c r="E172" s="29">
        <v>19875.849999999999</v>
      </c>
      <c r="F172" s="29">
        <v>676.85</v>
      </c>
      <c r="G172" s="29">
        <v>1.8</v>
      </c>
      <c r="H172" s="29">
        <v>0</v>
      </c>
      <c r="I172" s="29">
        <v>0</v>
      </c>
      <c r="J172" s="29">
        <v>0</v>
      </c>
      <c r="K172" s="29">
        <f>SUM(D172:J172)</f>
        <v>39175.799999999996</v>
      </c>
      <c r="L172" s="8"/>
      <c r="M172" s="8"/>
    </row>
    <row r="173" spans="1:13">
      <c r="A173" s="57"/>
      <c r="B173" s="57"/>
      <c r="C173" s="57"/>
      <c r="D173" s="57"/>
      <c r="E173" s="20"/>
      <c r="F173" s="20"/>
      <c r="G173" s="20"/>
      <c r="H173" s="20"/>
      <c r="I173" s="20"/>
      <c r="J173" s="20"/>
      <c r="K173" s="20"/>
      <c r="L173" s="8"/>
      <c r="M173" s="8"/>
    </row>
    <row r="174" spans="1:13" ht="16.5" thickBot="1">
      <c r="A174" s="57"/>
      <c r="B174" s="57"/>
      <c r="C174" s="57" t="s">
        <v>10</v>
      </c>
      <c r="D174" s="31">
        <f t="shared" ref="D174:J174" si="30">SUM(D172:D173)</f>
        <v>18621.3</v>
      </c>
      <c r="E174" s="31">
        <f t="shared" si="30"/>
        <v>19875.849999999999</v>
      </c>
      <c r="F174" s="31">
        <f t="shared" si="30"/>
        <v>676.85</v>
      </c>
      <c r="G174" s="31">
        <f t="shared" si="30"/>
        <v>1.8</v>
      </c>
      <c r="H174" s="31">
        <f t="shared" si="30"/>
        <v>0</v>
      </c>
      <c r="I174" s="31">
        <f t="shared" si="30"/>
        <v>0</v>
      </c>
      <c r="J174" s="31">
        <f t="shared" si="30"/>
        <v>0</v>
      </c>
      <c r="K174" s="31">
        <f>SUM(D174:J174)</f>
        <v>39175.799999999996</v>
      </c>
      <c r="L174" s="8"/>
      <c r="M174" s="8"/>
    </row>
    <row r="175" spans="1:13" ht="16.5" thickTop="1">
      <c r="A175" s="57"/>
      <c r="B175" s="57"/>
      <c r="C175" s="57"/>
      <c r="D175" s="57"/>
      <c r="E175" s="20"/>
      <c r="F175" s="20"/>
      <c r="G175" s="20"/>
      <c r="H175" s="20"/>
      <c r="I175" s="20"/>
      <c r="J175" s="20"/>
      <c r="K175" s="20"/>
      <c r="L175" s="8"/>
      <c r="M175" s="8"/>
    </row>
    <row r="176" spans="1:13">
      <c r="A176" s="57"/>
      <c r="B176" s="57"/>
      <c r="C176" s="57"/>
      <c r="D176" s="57"/>
      <c r="E176" s="20"/>
      <c r="F176" s="20"/>
      <c r="G176" s="20"/>
      <c r="H176" s="20"/>
      <c r="I176" s="20"/>
      <c r="J176" s="20"/>
      <c r="K176" s="20"/>
      <c r="L176" s="8"/>
      <c r="M176" s="8"/>
    </row>
    <row r="177" spans="1:13" ht="16.5" thickBot="1">
      <c r="A177" s="57">
        <v>48</v>
      </c>
      <c r="B177" s="57" t="s">
        <v>42</v>
      </c>
      <c r="C177" s="57" t="s">
        <v>12</v>
      </c>
      <c r="D177" s="29">
        <v>13412.02</v>
      </c>
      <c r="E177" s="29">
        <v>16203.77</v>
      </c>
      <c r="F177" s="29">
        <v>441.76</v>
      </c>
      <c r="G177" s="29">
        <v>0.15</v>
      </c>
      <c r="H177" s="29">
        <v>0</v>
      </c>
      <c r="I177" s="29">
        <v>0</v>
      </c>
      <c r="J177" s="29">
        <v>0</v>
      </c>
      <c r="K177" s="29">
        <f>SUM(D177:J177)</f>
        <v>30057.7</v>
      </c>
      <c r="L177" s="8"/>
      <c r="M177" s="8"/>
    </row>
    <row r="178" spans="1:13">
      <c r="A178" s="57"/>
      <c r="B178" s="57"/>
      <c r="C178" s="57"/>
      <c r="D178" s="57"/>
      <c r="E178" s="20"/>
      <c r="F178" s="20"/>
      <c r="G178" s="20"/>
      <c r="H178" s="20"/>
      <c r="I178" s="20"/>
      <c r="J178" s="20"/>
      <c r="K178" s="20"/>
      <c r="L178" s="8"/>
      <c r="M178" s="8"/>
    </row>
    <row r="179" spans="1:13" ht="16.5" thickBot="1">
      <c r="A179" s="57"/>
      <c r="B179" s="57"/>
      <c r="C179" s="57" t="s">
        <v>10</v>
      </c>
      <c r="D179" s="31">
        <f t="shared" ref="D179:J179" si="31">SUM(D177:D178)</f>
        <v>13412.02</v>
      </c>
      <c r="E179" s="31">
        <f t="shared" si="31"/>
        <v>16203.77</v>
      </c>
      <c r="F179" s="31">
        <f t="shared" si="31"/>
        <v>441.76</v>
      </c>
      <c r="G179" s="31">
        <f t="shared" si="31"/>
        <v>0.15</v>
      </c>
      <c r="H179" s="31">
        <f t="shared" si="31"/>
        <v>0</v>
      </c>
      <c r="I179" s="31">
        <f t="shared" si="31"/>
        <v>0</v>
      </c>
      <c r="J179" s="31">
        <f t="shared" si="31"/>
        <v>0</v>
      </c>
      <c r="K179" s="31">
        <f>SUM(D179:J179)</f>
        <v>30057.7</v>
      </c>
      <c r="L179" s="8"/>
      <c r="M179" s="8"/>
    </row>
    <row r="180" spans="1:13" ht="16.5" thickTop="1">
      <c r="A180" s="57"/>
      <c r="B180" s="57"/>
      <c r="C180" s="57"/>
      <c r="D180" s="57"/>
      <c r="E180" s="20"/>
      <c r="F180" s="20"/>
      <c r="G180" s="20"/>
      <c r="H180" s="20"/>
      <c r="I180" s="20"/>
      <c r="J180" s="20"/>
      <c r="K180" s="20"/>
      <c r="L180" s="8"/>
      <c r="M180" s="8"/>
    </row>
    <row r="181" spans="1:13">
      <c r="A181" s="57"/>
      <c r="B181" s="57"/>
      <c r="C181" s="57"/>
      <c r="D181" s="57"/>
      <c r="E181" s="20"/>
      <c r="F181" s="20"/>
      <c r="G181" s="20"/>
      <c r="H181" s="20"/>
      <c r="I181" s="20"/>
      <c r="J181" s="20"/>
      <c r="K181" s="20"/>
      <c r="L181" s="8"/>
      <c r="M181" s="8"/>
    </row>
    <row r="182" spans="1:13" ht="16.5" thickBot="1">
      <c r="A182" s="57">
        <v>49</v>
      </c>
      <c r="B182" s="57" t="s">
        <v>43</v>
      </c>
      <c r="C182" s="57" t="s">
        <v>12</v>
      </c>
      <c r="D182" s="29">
        <v>25628.74</v>
      </c>
      <c r="E182" s="29">
        <v>25884.59</v>
      </c>
      <c r="F182" s="29">
        <v>184.86</v>
      </c>
      <c r="G182" s="29">
        <v>0</v>
      </c>
      <c r="H182" s="29">
        <v>0</v>
      </c>
      <c r="I182" s="29">
        <v>0</v>
      </c>
      <c r="J182" s="29">
        <v>0</v>
      </c>
      <c r="K182" s="29">
        <f>SUM(D182:J182)</f>
        <v>51698.19</v>
      </c>
      <c r="L182" s="8"/>
      <c r="M182" s="8"/>
    </row>
    <row r="183" spans="1:13">
      <c r="A183" s="57"/>
      <c r="B183" s="57"/>
      <c r="C183" s="57"/>
      <c r="D183" s="57"/>
      <c r="E183" s="20"/>
      <c r="F183" s="20"/>
      <c r="G183" s="20"/>
      <c r="H183" s="20"/>
      <c r="I183" s="20"/>
      <c r="J183" s="20"/>
      <c r="K183" s="20"/>
      <c r="L183" s="8"/>
      <c r="M183" s="8"/>
    </row>
    <row r="184" spans="1:13" ht="16.5" thickBot="1">
      <c r="A184" s="57"/>
      <c r="B184" s="57"/>
      <c r="C184" s="57" t="s">
        <v>10</v>
      </c>
      <c r="D184" s="31">
        <f t="shared" ref="D184:J184" si="32">SUM(D182:D183)</f>
        <v>25628.74</v>
      </c>
      <c r="E184" s="31">
        <f t="shared" si="32"/>
        <v>25884.59</v>
      </c>
      <c r="F184" s="31">
        <f t="shared" si="32"/>
        <v>184.86</v>
      </c>
      <c r="G184" s="31">
        <f t="shared" si="32"/>
        <v>0</v>
      </c>
      <c r="H184" s="31">
        <f t="shared" si="32"/>
        <v>0</v>
      </c>
      <c r="I184" s="31">
        <f t="shared" si="32"/>
        <v>0</v>
      </c>
      <c r="J184" s="31">
        <f t="shared" si="32"/>
        <v>0</v>
      </c>
      <c r="K184" s="31">
        <f>SUM(D184:J184)</f>
        <v>51698.19</v>
      </c>
      <c r="L184" s="8"/>
      <c r="M184" s="8"/>
    </row>
    <row r="185" spans="1:13" ht="16.5" thickTop="1">
      <c r="A185" s="57"/>
      <c r="B185" s="57"/>
      <c r="C185" s="57"/>
      <c r="D185" s="57"/>
      <c r="E185" s="20"/>
      <c r="F185" s="20"/>
      <c r="G185" s="20"/>
      <c r="H185" s="20"/>
      <c r="I185" s="20"/>
      <c r="J185" s="20"/>
      <c r="K185" s="20"/>
      <c r="L185" s="8"/>
      <c r="M185" s="8"/>
    </row>
    <row r="186" spans="1:13">
      <c r="A186" s="57"/>
      <c r="B186" s="57"/>
      <c r="C186" s="57"/>
      <c r="D186" s="57"/>
      <c r="E186" s="20"/>
      <c r="F186" s="20"/>
      <c r="G186" s="20"/>
      <c r="H186" s="20"/>
      <c r="I186" s="20"/>
      <c r="J186" s="20"/>
      <c r="K186" s="20"/>
      <c r="L186" s="8"/>
      <c r="M186" s="8"/>
    </row>
    <row r="187" spans="1:13">
      <c r="A187" s="57">
        <v>50</v>
      </c>
      <c r="B187" s="57" t="s">
        <v>44</v>
      </c>
      <c r="C187" s="57" t="s">
        <v>12</v>
      </c>
      <c r="D187" s="20">
        <v>6669.86</v>
      </c>
      <c r="E187" s="20">
        <v>8106.07</v>
      </c>
      <c r="F187" s="20">
        <v>10.93</v>
      </c>
      <c r="G187" s="20">
        <v>0</v>
      </c>
      <c r="H187" s="20">
        <v>0</v>
      </c>
      <c r="I187" s="20">
        <v>0</v>
      </c>
      <c r="J187" s="20">
        <v>0</v>
      </c>
      <c r="K187" s="20">
        <f>SUM(D187:J187)</f>
        <v>14786.86</v>
      </c>
      <c r="L187" s="8"/>
      <c r="M187" s="8"/>
    </row>
    <row r="188" spans="1:13" ht="16.5" thickBot="1">
      <c r="A188" s="57"/>
      <c r="B188" s="57"/>
      <c r="C188" s="57" t="s">
        <v>13</v>
      </c>
      <c r="D188" s="29">
        <v>995.5</v>
      </c>
      <c r="E188" s="29">
        <v>696</v>
      </c>
      <c r="F188" s="29">
        <v>2.14</v>
      </c>
      <c r="G188" s="29">
        <v>0</v>
      </c>
      <c r="H188" s="29">
        <v>0</v>
      </c>
      <c r="I188" s="29">
        <v>0</v>
      </c>
      <c r="J188" s="29">
        <v>0</v>
      </c>
      <c r="K188" s="29">
        <f>SUM(D188:J188)</f>
        <v>1693.64</v>
      </c>
      <c r="L188" s="8"/>
      <c r="M188" s="8"/>
    </row>
    <row r="189" spans="1:13">
      <c r="A189" s="57"/>
      <c r="B189" s="57"/>
      <c r="C189" s="57"/>
      <c r="D189" s="57"/>
      <c r="E189" s="20"/>
      <c r="F189" s="20"/>
      <c r="G189" s="20"/>
      <c r="H189" s="20"/>
      <c r="I189" s="20"/>
      <c r="J189" s="20"/>
      <c r="K189" s="20"/>
      <c r="L189" s="8"/>
      <c r="M189" s="8"/>
    </row>
    <row r="190" spans="1:13" ht="16.5" thickBot="1">
      <c r="A190" s="57"/>
      <c r="B190" s="57"/>
      <c r="C190" s="57" t="s">
        <v>10</v>
      </c>
      <c r="D190" s="31">
        <f t="shared" ref="D190:J190" si="33">SUM(D187:D188)</f>
        <v>7665.36</v>
      </c>
      <c r="E190" s="31">
        <f t="shared" si="33"/>
        <v>8802.07</v>
      </c>
      <c r="F190" s="31">
        <f t="shared" si="33"/>
        <v>13.07</v>
      </c>
      <c r="G190" s="31">
        <f t="shared" si="33"/>
        <v>0</v>
      </c>
      <c r="H190" s="31">
        <f t="shared" si="33"/>
        <v>0</v>
      </c>
      <c r="I190" s="31">
        <f t="shared" si="33"/>
        <v>0</v>
      </c>
      <c r="J190" s="31">
        <f t="shared" si="33"/>
        <v>0</v>
      </c>
      <c r="K190" s="31">
        <f>SUM(D190:J190)</f>
        <v>16480.5</v>
      </c>
      <c r="L190" s="8"/>
      <c r="M190" s="8"/>
    </row>
    <row r="191" spans="1:13" ht="16.5" thickTop="1">
      <c r="A191" s="57"/>
      <c r="B191" s="57"/>
      <c r="C191" s="57"/>
      <c r="D191" s="57"/>
      <c r="E191" s="20"/>
      <c r="F191" s="20"/>
      <c r="G191" s="20"/>
      <c r="H191" s="20"/>
      <c r="I191" s="20"/>
      <c r="J191" s="20"/>
      <c r="K191" s="20"/>
      <c r="L191" s="8"/>
      <c r="M191" s="8"/>
    </row>
    <row r="192" spans="1:13">
      <c r="A192" s="57"/>
      <c r="B192" s="57"/>
      <c r="C192" s="57"/>
      <c r="D192" s="57"/>
      <c r="E192" s="20"/>
      <c r="F192" s="20"/>
      <c r="G192" s="20"/>
      <c r="H192" s="20"/>
      <c r="I192" s="20"/>
      <c r="J192" s="20"/>
      <c r="K192" s="20"/>
      <c r="L192" s="8"/>
      <c r="M192" s="8"/>
    </row>
    <row r="193" spans="1:13" ht="16.5" thickBot="1">
      <c r="A193" s="57">
        <v>51</v>
      </c>
      <c r="B193" s="57" t="s">
        <v>45</v>
      </c>
      <c r="C193" s="57" t="s">
        <v>12</v>
      </c>
      <c r="D193" s="29">
        <v>15244.38</v>
      </c>
      <c r="E193" s="29">
        <v>15440.18</v>
      </c>
      <c r="F193" s="29">
        <v>1.69</v>
      </c>
      <c r="G193" s="29">
        <v>0</v>
      </c>
      <c r="H193" s="29">
        <v>0</v>
      </c>
      <c r="I193" s="29">
        <v>0</v>
      </c>
      <c r="J193" s="29">
        <v>0</v>
      </c>
      <c r="K193" s="29">
        <f>SUM(D193:J195)</f>
        <v>30686.249999999996</v>
      </c>
      <c r="L193" s="8"/>
      <c r="M193" s="8"/>
    </row>
    <row r="194" spans="1:13" hidden="1">
      <c r="A194" s="57"/>
      <c r="B194" s="57"/>
      <c r="C194" s="57" t="s">
        <v>13</v>
      </c>
      <c r="D194" s="57"/>
      <c r="E194" s="20"/>
      <c r="F194" s="20"/>
      <c r="G194" s="20"/>
      <c r="H194" s="20"/>
      <c r="I194" s="20"/>
      <c r="J194" s="20"/>
      <c r="K194" s="20">
        <f>SUM(E194:J194)</f>
        <v>0</v>
      </c>
      <c r="L194" s="8"/>
      <c r="M194" s="8"/>
    </row>
    <row r="195" spans="1:13" ht="16.5" hidden="1" thickBot="1">
      <c r="A195" s="57"/>
      <c r="B195" s="57"/>
      <c r="C195" s="57" t="s">
        <v>46</v>
      </c>
      <c r="D195" s="57"/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f>SUM(E195:J195)</f>
        <v>0</v>
      </c>
      <c r="L195" s="8"/>
      <c r="M195" s="8"/>
    </row>
    <row r="196" spans="1:13">
      <c r="A196" s="57"/>
      <c r="B196" s="57"/>
      <c r="C196" s="57"/>
      <c r="D196" s="57"/>
      <c r="E196" s="20"/>
      <c r="F196" s="20"/>
      <c r="G196" s="20"/>
      <c r="H196" s="20"/>
      <c r="I196" s="20"/>
      <c r="J196" s="20"/>
      <c r="K196" s="20"/>
      <c r="L196" s="8"/>
      <c r="M196" s="8"/>
    </row>
    <row r="197" spans="1:13" ht="16.5" thickBot="1">
      <c r="A197" s="57"/>
      <c r="B197" s="57"/>
      <c r="C197" s="57" t="s">
        <v>10</v>
      </c>
      <c r="D197" s="31">
        <f t="shared" ref="D197:J197" si="34">SUM(D193:D195)</f>
        <v>15244.38</v>
      </c>
      <c r="E197" s="31">
        <f t="shared" si="34"/>
        <v>15440.18</v>
      </c>
      <c r="F197" s="31">
        <f t="shared" si="34"/>
        <v>1.69</v>
      </c>
      <c r="G197" s="31">
        <f t="shared" si="34"/>
        <v>0</v>
      </c>
      <c r="H197" s="31">
        <f t="shared" si="34"/>
        <v>0</v>
      </c>
      <c r="I197" s="31">
        <f t="shared" si="34"/>
        <v>0</v>
      </c>
      <c r="J197" s="31">
        <f t="shared" si="34"/>
        <v>0</v>
      </c>
      <c r="K197" s="31">
        <f>SUM(D197:J197)</f>
        <v>30686.249999999996</v>
      </c>
      <c r="L197" s="8"/>
      <c r="M197" s="8"/>
    </row>
    <row r="198" spans="1:13" ht="16.5" thickTop="1">
      <c r="A198" s="57"/>
      <c r="B198" s="57"/>
      <c r="C198" s="57"/>
      <c r="D198" s="57"/>
      <c r="E198" s="20"/>
      <c r="F198" s="20"/>
      <c r="G198" s="20"/>
      <c r="H198" s="20"/>
      <c r="I198" s="20"/>
      <c r="J198" s="20"/>
      <c r="K198" s="20"/>
      <c r="L198" s="8"/>
      <c r="M198" s="8"/>
    </row>
    <row r="199" spans="1:13">
      <c r="A199" s="57"/>
      <c r="B199" s="57"/>
      <c r="C199" s="57"/>
      <c r="D199" s="57"/>
      <c r="E199" s="20"/>
      <c r="F199" s="20"/>
      <c r="G199" s="20"/>
      <c r="H199" s="20"/>
      <c r="I199" s="20"/>
      <c r="J199" s="20"/>
      <c r="K199" s="20"/>
      <c r="L199" s="8"/>
      <c r="M199" s="8"/>
    </row>
    <row r="200" spans="1:13">
      <c r="A200" s="57">
        <v>52</v>
      </c>
      <c r="B200" s="57" t="s">
        <v>47</v>
      </c>
      <c r="C200" s="57" t="s">
        <v>12</v>
      </c>
      <c r="D200" s="25">
        <v>18831.509999999998</v>
      </c>
      <c r="E200" s="25">
        <v>19355.91</v>
      </c>
      <c r="F200" s="25">
        <v>294.04000000000002</v>
      </c>
      <c r="G200" s="25">
        <v>0</v>
      </c>
      <c r="H200" s="25">
        <v>0</v>
      </c>
      <c r="I200" s="25">
        <v>0</v>
      </c>
      <c r="J200" s="25">
        <v>0</v>
      </c>
      <c r="K200" s="25">
        <f>SUM(D200:J201)</f>
        <v>38481.46</v>
      </c>
      <c r="L200" s="8"/>
      <c r="M200" s="8"/>
    </row>
    <row r="201" spans="1:13" ht="16.5" hidden="1" thickBot="1">
      <c r="A201" s="57"/>
      <c r="B201" s="57"/>
      <c r="C201" s="57" t="s">
        <v>13</v>
      </c>
      <c r="D201" s="57"/>
      <c r="E201" s="29"/>
      <c r="F201" s="29"/>
      <c r="G201" s="29"/>
      <c r="H201" s="29"/>
      <c r="I201" s="29"/>
      <c r="J201" s="29"/>
      <c r="K201" s="29">
        <v>0</v>
      </c>
      <c r="L201" s="8"/>
      <c r="M201" s="8"/>
    </row>
    <row r="202" spans="1:13">
      <c r="A202" s="57"/>
      <c r="B202" s="57"/>
      <c r="C202" s="57"/>
      <c r="D202" s="57"/>
      <c r="E202" s="20"/>
      <c r="F202" s="20"/>
      <c r="G202" s="20"/>
      <c r="H202" s="20"/>
      <c r="I202" s="20"/>
      <c r="J202" s="20"/>
      <c r="K202" s="20"/>
      <c r="L202" s="8"/>
      <c r="M202" s="8"/>
    </row>
    <row r="203" spans="1:13" ht="16.5" thickBot="1">
      <c r="A203" s="57"/>
      <c r="B203" s="57"/>
      <c r="C203" s="57" t="s">
        <v>10</v>
      </c>
      <c r="D203" s="31">
        <f t="shared" ref="D203:J203" si="35">SUM(D200:D201)</f>
        <v>18831.509999999998</v>
      </c>
      <c r="E203" s="31">
        <f t="shared" si="35"/>
        <v>19355.91</v>
      </c>
      <c r="F203" s="31">
        <f t="shared" si="35"/>
        <v>294.04000000000002</v>
      </c>
      <c r="G203" s="31">
        <f t="shared" si="35"/>
        <v>0</v>
      </c>
      <c r="H203" s="31">
        <f t="shared" si="35"/>
        <v>0</v>
      </c>
      <c r="I203" s="31">
        <f t="shared" si="35"/>
        <v>0</v>
      </c>
      <c r="J203" s="31">
        <f t="shared" si="35"/>
        <v>0</v>
      </c>
      <c r="K203" s="31">
        <f>SUM(D203:J203)</f>
        <v>38481.46</v>
      </c>
      <c r="L203" s="8"/>
      <c r="M203" s="8"/>
    </row>
    <row r="204" spans="1:13" ht="16.5" thickTop="1">
      <c r="A204" s="57"/>
      <c r="B204" s="57"/>
      <c r="C204" s="57"/>
      <c r="D204" s="57"/>
      <c r="E204" s="20"/>
      <c r="F204" s="20"/>
      <c r="G204" s="20"/>
      <c r="H204" s="20"/>
      <c r="I204" s="20"/>
      <c r="J204" s="20"/>
      <c r="K204" s="20"/>
      <c r="L204" s="8"/>
      <c r="M204" s="8"/>
    </row>
    <row r="205" spans="1:13">
      <c r="A205" s="57"/>
      <c r="B205" s="57"/>
      <c r="C205" s="57"/>
      <c r="D205" s="57"/>
      <c r="E205" s="20"/>
      <c r="F205" s="20"/>
      <c r="G205" s="20"/>
      <c r="H205" s="20"/>
      <c r="I205" s="20"/>
      <c r="J205" s="20"/>
      <c r="K205" s="20"/>
      <c r="L205" s="8"/>
      <c r="M205" s="8"/>
    </row>
    <row r="206" spans="1:13" ht="16.5" thickBot="1">
      <c r="A206" s="57">
        <v>53</v>
      </c>
      <c r="B206" s="57" t="s">
        <v>48</v>
      </c>
      <c r="C206" s="57" t="s">
        <v>12</v>
      </c>
      <c r="D206" s="29">
        <v>51355.55</v>
      </c>
      <c r="E206" s="29">
        <v>49608.52</v>
      </c>
      <c r="F206" s="29">
        <v>665.33</v>
      </c>
      <c r="G206" s="29">
        <v>0</v>
      </c>
      <c r="H206" s="29">
        <v>0</v>
      </c>
      <c r="I206" s="29">
        <v>0</v>
      </c>
      <c r="J206" s="29">
        <v>0</v>
      </c>
      <c r="K206" s="29">
        <f>SUM(D206:J206)</f>
        <v>101629.40000000001</v>
      </c>
      <c r="L206" s="8"/>
      <c r="M206" s="8"/>
    </row>
    <row r="207" spans="1:13" hidden="1">
      <c r="A207" s="57"/>
      <c r="B207" s="57"/>
      <c r="C207" s="57" t="s">
        <v>35</v>
      </c>
      <c r="D207" s="57"/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f>SUM(E207:J207)</f>
        <v>0</v>
      </c>
      <c r="L207" s="8"/>
      <c r="M207" s="8"/>
    </row>
    <row r="208" spans="1:13" hidden="1">
      <c r="A208" s="57"/>
      <c r="B208" s="57"/>
      <c r="C208" s="57" t="s">
        <v>97</v>
      </c>
      <c r="D208" s="57"/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f>SUM(E208:J208)</f>
        <v>0</v>
      </c>
      <c r="L208" s="8"/>
      <c r="M208" s="8"/>
    </row>
    <row r="209" spans="1:13" ht="16.5" hidden="1" thickBot="1">
      <c r="A209" s="57"/>
      <c r="B209" s="57"/>
      <c r="C209" s="57" t="s">
        <v>98</v>
      </c>
      <c r="D209" s="57"/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f>SUM(E209:J209)</f>
        <v>0</v>
      </c>
      <c r="L209" s="8"/>
      <c r="M209" s="8"/>
    </row>
    <row r="210" spans="1:13">
      <c r="A210" s="57"/>
      <c r="B210" s="57"/>
      <c r="C210" s="57"/>
      <c r="D210" s="57"/>
      <c r="E210" s="20"/>
      <c r="F210" s="20"/>
      <c r="G210" s="20"/>
      <c r="H210" s="20"/>
      <c r="I210" s="20"/>
      <c r="J210" s="20"/>
      <c r="K210" s="20"/>
      <c r="L210" s="8"/>
      <c r="M210" s="8"/>
    </row>
    <row r="211" spans="1:13" ht="16.5" thickBot="1">
      <c r="A211" s="57"/>
      <c r="B211" s="57"/>
      <c r="C211" s="57" t="s">
        <v>10</v>
      </c>
      <c r="D211" s="31">
        <f>SUM(D206:D210)</f>
        <v>51355.55</v>
      </c>
      <c r="E211" s="31">
        <f>SUM(E206:E210)</f>
        <v>49608.52</v>
      </c>
      <c r="F211" s="31">
        <f t="shared" ref="F211:J211" si="36">SUM(F206:F210)</f>
        <v>665.33</v>
      </c>
      <c r="G211" s="31">
        <f t="shared" si="36"/>
        <v>0</v>
      </c>
      <c r="H211" s="31">
        <f t="shared" si="36"/>
        <v>0</v>
      </c>
      <c r="I211" s="31">
        <f t="shared" si="36"/>
        <v>0</v>
      </c>
      <c r="J211" s="31">
        <f t="shared" si="36"/>
        <v>0</v>
      </c>
      <c r="K211" s="31">
        <f>SUM(K206:K210)</f>
        <v>101629.40000000001</v>
      </c>
      <c r="L211" s="8"/>
      <c r="M211" s="8"/>
    </row>
    <row r="212" spans="1:13" ht="16.5" thickTop="1">
      <c r="A212" s="57"/>
      <c r="B212" s="57"/>
      <c r="C212" s="57"/>
      <c r="D212" s="57"/>
      <c r="E212" s="20"/>
      <c r="F212" s="20"/>
      <c r="G212" s="20"/>
      <c r="H212" s="20"/>
      <c r="I212" s="20"/>
      <c r="J212" s="20"/>
      <c r="K212" s="20"/>
      <c r="L212" s="8"/>
      <c r="M212" s="8"/>
    </row>
    <row r="213" spans="1:13">
      <c r="A213" s="57"/>
      <c r="B213" s="57"/>
      <c r="C213" s="57"/>
      <c r="D213" s="57"/>
      <c r="E213" s="20"/>
      <c r="F213" s="20"/>
      <c r="G213" s="20"/>
      <c r="H213" s="20"/>
      <c r="I213" s="20"/>
      <c r="J213" s="20"/>
      <c r="K213" s="20"/>
      <c r="L213" s="8"/>
      <c r="M213" s="8"/>
    </row>
    <row r="214" spans="1:13">
      <c r="A214" s="57">
        <v>54</v>
      </c>
      <c r="B214" s="57" t="s">
        <v>49</v>
      </c>
      <c r="C214" s="57" t="s">
        <v>12</v>
      </c>
      <c r="D214" s="25">
        <v>18006.48</v>
      </c>
      <c r="E214" s="25">
        <v>16248.72</v>
      </c>
      <c r="F214" s="25">
        <v>53.78</v>
      </c>
      <c r="G214" s="25">
        <v>0</v>
      </c>
      <c r="H214" s="25">
        <v>0</v>
      </c>
      <c r="I214" s="25">
        <v>0</v>
      </c>
      <c r="J214" s="25">
        <v>0</v>
      </c>
      <c r="K214" s="25">
        <f>SUM(D214:J214)</f>
        <v>34308.979999999996</v>
      </c>
      <c r="L214" s="8"/>
      <c r="M214" s="8"/>
    </row>
    <row r="215" spans="1:13" ht="16.5" hidden="1" thickBot="1">
      <c r="A215" s="57"/>
      <c r="B215" s="57"/>
      <c r="C215" s="57" t="s">
        <v>104</v>
      </c>
      <c r="D215" s="57"/>
      <c r="E215" s="29"/>
      <c r="F215" s="29"/>
      <c r="G215" s="29"/>
      <c r="H215" s="29"/>
      <c r="I215" s="29"/>
      <c r="J215" s="29"/>
      <c r="K215" s="29">
        <f>SUM(E215:J215)</f>
        <v>0</v>
      </c>
      <c r="L215" s="8"/>
      <c r="M215" s="8"/>
    </row>
    <row r="216" spans="1:13">
      <c r="A216" s="57"/>
      <c r="B216" s="57"/>
      <c r="C216" s="57"/>
      <c r="D216" s="57"/>
      <c r="E216" s="20"/>
      <c r="F216" s="20"/>
      <c r="G216" s="20"/>
      <c r="H216" s="20"/>
      <c r="I216" s="20"/>
      <c r="J216" s="20"/>
      <c r="K216" s="20"/>
      <c r="L216" s="8"/>
      <c r="M216" s="8"/>
    </row>
    <row r="217" spans="1:13" ht="16.5" thickBot="1">
      <c r="A217" s="57"/>
      <c r="B217" s="57"/>
      <c r="C217" s="57" t="s">
        <v>10</v>
      </c>
      <c r="D217" s="31">
        <f t="shared" ref="D217:J217" si="37">SUM(D214:D216)</f>
        <v>18006.48</v>
      </c>
      <c r="E217" s="31">
        <f t="shared" si="37"/>
        <v>16248.72</v>
      </c>
      <c r="F217" s="31">
        <f t="shared" si="37"/>
        <v>53.78</v>
      </c>
      <c r="G217" s="31">
        <f t="shared" si="37"/>
        <v>0</v>
      </c>
      <c r="H217" s="31">
        <f t="shared" si="37"/>
        <v>0</v>
      </c>
      <c r="I217" s="31">
        <f t="shared" si="37"/>
        <v>0</v>
      </c>
      <c r="J217" s="31">
        <f t="shared" si="37"/>
        <v>0</v>
      </c>
      <c r="K217" s="31">
        <f>SUM(D217:J217)</f>
        <v>34308.979999999996</v>
      </c>
      <c r="L217" s="8"/>
      <c r="M217" s="8"/>
    </row>
    <row r="218" spans="1:13" ht="16.5" thickTop="1">
      <c r="A218" s="57"/>
      <c r="B218" s="57"/>
      <c r="C218" s="57"/>
      <c r="D218" s="57"/>
      <c r="E218" s="20"/>
      <c r="F218" s="20"/>
      <c r="G218" s="20"/>
      <c r="H218" s="20"/>
      <c r="I218" s="20"/>
      <c r="J218" s="20"/>
      <c r="K218" s="20"/>
      <c r="L218" s="8"/>
      <c r="M218" s="8"/>
    </row>
    <row r="219" spans="1:13">
      <c r="A219" s="57"/>
      <c r="B219" s="57"/>
      <c r="C219" s="57"/>
      <c r="D219" s="57"/>
      <c r="E219" s="20"/>
      <c r="F219" s="20"/>
      <c r="G219" s="20"/>
      <c r="H219" s="20"/>
      <c r="I219" s="20"/>
      <c r="J219" s="20"/>
      <c r="K219" s="20"/>
      <c r="L219" s="8"/>
      <c r="M219" s="8"/>
    </row>
    <row r="220" spans="1:13">
      <c r="A220" s="57">
        <v>55</v>
      </c>
      <c r="B220" s="57" t="s">
        <v>50</v>
      </c>
      <c r="C220" s="57" t="s">
        <v>12</v>
      </c>
      <c r="D220" s="20">
        <v>44432.62</v>
      </c>
      <c r="E220" s="20">
        <v>56711.83</v>
      </c>
      <c r="F220" s="20">
        <v>622.72</v>
      </c>
      <c r="G220" s="20">
        <v>0</v>
      </c>
      <c r="H220" s="20">
        <v>0</v>
      </c>
      <c r="I220" s="20">
        <v>0</v>
      </c>
      <c r="J220" s="20">
        <v>0</v>
      </c>
      <c r="K220" s="20">
        <f>SUM(D220:J220)</f>
        <v>101767.17000000001</v>
      </c>
      <c r="L220" s="8"/>
      <c r="M220" s="8"/>
    </row>
    <row r="221" spans="1:13" ht="16.5" thickBot="1">
      <c r="A221" s="57"/>
      <c r="B221" s="57"/>
      <c r="C221" s="57" t="s">
        <v>13</v>
      </c>
      <c r="D221" s="29">
        <v>725.24</v>
      </c>
      <c r="E221" s="29">
        <v>819.12</v>
      </c>
      <c r="F221" s="29">
        <v>8.9600000000000009</v>
      </c>
      <c r="G221" s="29">
        <v>0</v>
      </c>
      <c r="H221" s="29">
        <v>0</v>
      </c>
      <c r="I221" s="29">
        <v>0</v>
      </c>
      <c r="J221" s="29">
        <v>0</v>
      </c>
      <c r="K221" s="29">
        <f>SUM(D221:J221)</f>
        <v>1553.3200000000002</v>
      </c>
      <c r="L221" s="8"/>
      <c r="M221" s="8"/>
    </row>
    <row r="222" spans="1:13">
      <c r="A222" s="57"/>
      <c r="B222" s="57"/>
      <c r="C222" s="57"/>
      <c r="D222" s="57"/>
      <c r="E222" s="20"/>
      <c r="F222" s="20"/>
      <c r="G222" s="20"/>
      <c r="H222" s="20"/>
      <c r="I222" s="20"/>
      <c r="J222" s="20"/>
      <c r="K222" s="20"/>
      <c r="L222" s="8"/>
      <c r="M222" s="8"/>
    </row>
    <row r="223" spans="1:13" ht="16.5" thickBot="1">
      <c r="A223" s="57"/>
      <c r="B223" s="57"/>
      <c r="C223" s="57" t="s">
        <v>10</v>
      </c>
      <c r="D223" s="31">
        <f t="shared" ref="D223:J223" si="38">SUM(D220:D221)</f>
        <v>45157.86</v>
      </c>
      <c r="E223" s="31">
        <f t="shared" si="38"/>
        <v>57530.950000000004</v>
      </c>
      <c r="F223" s="31">
        <f t="shared" si="38"/>
        <v>631.68000000000006</v>
      </c>
      <c r="G223" s="31">
        <f t="shared" si="38"/>
        <v>0</v>
      </c>
      <c r="H223" s="31">
        <f t="shared" si="38"/>
        <v>0</v>
      </c>
      <c r="I223" s="31">
        <f t="shared" si="38"/>
        <v>0</v>
      </c>
      <c r="J223" s="31">
        <f t="shared" si="38"/>
        <v>0</v>
      </c>
      <c r="K223" s="31">
        <f>SUM(D223:J223)</f>
        <v>103320.48999999999</v>
      </c>
      <c r="L223" s="8"/>
      <c r="M223" s="8"/>
    </row>
    <row r="224" spans="1:13" ht="16.5" thickTop="1">
      <c r="A224" s="57"/>
      <c r="B224" s="57"/>
      <c r="C224" s="57"/>
      <c r="D224" s="57"/>
      <c r="E224" s="20"/>
      <c r="F224" s="20"/>
      <c r="G224" s="20"/>
      <c r="H224" s="20"/>
      <c r="I224" s="20"/>
      <c r="J224" s="20"/>
      <c r="K224" s="20"/>
      <c r="L224" s="8"/>
      <c r="M224" s="8"/>
    </row>
    <row r="225" spans="1:13">
      <c r="A225" s="57"/>
      <c r="B225" s="57"/>
      <c r="C225" s="57"/>
      <c r="D225" s="57"/>
      <c r="E225" s="20"/>
      <c r="F225" s="20"/>
      <c r="G225" s="20"/>
      <c r="H225" s="20"/>
      <c r="I225" s="20"/>
      <c r="J225" s="20"/>
      <c r="K225" s="20"/>
      <c r="L225" s="8"/>
      <c r="M225" s="8"/>
    </row>
    <row r="226" spans="1:13">
      <c r="A226" s="57">
        <v>56</v>
      </c>
      <c r="B226" s="57" t="s">
        <v>51</v>
      </c>
      <c r="C226" s="57" t="s">
        <v>12</v>
      </c>
      <c r="D226" s="20">
        <v>27357.39</v>
      </c>
      <c r="E226" s="20">
        <v>32242.6</v>
      </c>
      <c r="F226" s="20">
        <v>616.44000000000005</v>
      </c>
      <c r="G226" s="20">
        <v>0</v>
      </c>
      <c r="H226" s="20">
        <v>0</v>
      </c>
      <c r="I226" s="20">
        <v>0</v>
      </c>
      <c r="J226" s="20">
        <v>0</v>
      </c>
      <c r="K226" s="20">
        <f>SUM(D226:J226)</f>
        <v>60216.43</v>
      </c>
      <c r="L226" s="8"/>
      <c r="M226" s="8"/>
    </row>
    <row r="227" spans="1:13" ht="16.5" thickBot="1">
      <c r="A227" s="57"/>
      <c r="B227" s="57"/>
      <c r="C227" s="57" t="s">
        <v>13</v>
      </c>
      <c r="D227" s="29">
        <v>1592.57</v>
      </c>
      <c r="E227" s="29">
        <v>1812.88</v>
      </c>
      <c r="F227" s="29">
        <v>35.46</v>
      </c>
      <c r="G227" s="29">
        <v>0</v>
      </c>
      <c r="H227" s="29">
        <v>0</v>
      </c>
      <c r="I227" s="29">
        <v>0</v>
      </c>
      <c r="J227" s="29">
        <v>0</v>
      </c>
      <c r="K227" s="29">
        <f>SUM(D227:J227)</f>
        <v>3440.91</v>
      </c>
      <c r="L227" s="8"/>
      <c r="M227" s="8"/>
    </row>
    <row r="228" spans="1:13">
      <c r="A228" s="57"/>
      <c r="B228" s="57"/>
      <c r="C228" s="57"/>
      <c r="D228" s="57"/>
      <c r="E228" s="20"/>
      <c r="F228" s="20"/>
      <c r="G228" s="20"/>
      <c r="H228" s="20"/>
      <c r="I228" s="20"/>
      <c r="J228" s="20"/>
      <c r="K228" s="20"/>
      <c r="L228" s="8"/>
      <c r="M228" s="8"/>
    </row>
    <row r="229" spans="1:13" ht="16.5" thickBot="1">
      <c r="A229" s="57"/>
      <c r="B229" s="57"/>
      <c r="C229" s="57" t="s">
        <v>10</v>
      </c>
      <c r="D229" s="31">
        <f t="shared" ref="D229:J229" si="39">SUM(D226:D227)</f>
        <v>28949.96</v>
      </c>
      <c r="E229" s="31">
        <f t="shared" si="39"/>
        <v>34055.479999999996</v>
      </c>
      <c r="F229" s="31">
        <f t="shared" si="39"/>
        <v>651.90000000000009</v>
      </c>
      <c r="G229" s="31">
        <f t="shared" si="39"/>
        <v>0</v>
      </c>
      <c r="H229" s="31">
        <f t="shared" si="39"/>
        <v>0</v>
      </c>
      <c r="I229" s="31">
        <f t="shared" si="39"/>
        <v>0</v>
      </c>
      <c r="J229" s="31">
        <f t="shared" si="39"/>
        <v>0</v>
      </c>
      <c r="K229" s="31">
        <f>SUM(D229:J229)</f>
        <v>63657.34</v>
      </c>
      <c r="L229" s="8"/>
      <c r="M229" s="8"/>
    </row>
    <row r="230" spans="1:13" ht="16.5" thickTop="1">
      <c r="A230" s="57"/>
      <c r="B230" s="57"/>
      <c r="C230" s="57"/>
      <c r="D230" s="57"/>
      <c r="E230" s="20"/>
      <c r="F230" s="20"/>
      <c r="G230" s="20"/>
      <c r="H230" s="20"/>
      <c r="I230" s="20"/>
      <c r="J230" s="20"/>
      <c r="K230" s="20"/>
      <c r="L230" s="8"/>
      <c r="M230" s="8"/>
    </row>
    <row r="231" spans="1:13">
      <c r="A231" s="57"/>
      <c r="B231" s="57"/>
      <c r="C231" s="57"/>
      <c r="D231" s="57"/>
      <c r="E231" s="20"/>
      <c r="F231" s="20"/>
      <c r="G231" s="20"/>
      <c r="H231" s="20"/>
      <c r="I231" s="20"/>
      <c r="J231" s="20"/>
      <c r="K231" s="20"/>
      <c r="L231" s="8"/>
      <c r="M231" s="8"/>
    </row>
    <row r="232" spans="1:13">
      <c r="A232" s="57">
        <v>57</v>
      </c>
      <c r="B232" s="57" t="s">
        <v>52</v>
      </c>
      <c r="C232" s="57" t="s">
        <v>12</v>
      </c>
      <c r="D232" s="20">
        <v>43246.77</v>
      </c>
      <c r="E232" s="20">
        <v>43586.96</v>
      </c>
      <c r="F232" s="20">
        <v>316.82</v>
      </c>
      <c r="G232" s="20">
        <v>0</v>
      </c>
      <c r="H232" s="20">
        <v>0</v>
      </c>
      <c r="I232" s="20">
        <v>0</v>
      </c>
      <c r="J232" s="20">
        <v>0</v>
      </c>
      <c r="K232" s="20">
        <f>SUM(D232:J233)</f>
        <v>87150.55</v>
      </c>
      <c r="L232" s="8"/>
      <c r="M232" s="8"/>
    </row>
    <row r="233" spans="1:13" hidden="1">
      <c r="A233" s="57"/>
      <c r="B233" s="57"/>
      <c r="C233" s="57" t="s">
        <v>13</v>
      </c>
      <c r="D233" s="20"/>
      <c r="E233" s="20"/>
      <c r="F233" s="20"/>
      <c r="G233" s="20"/>
      <c r="H233" s="20">
        <v>0</v>
      </c>
      <c r="I233" s="20">
        <v>0</v>
      </c>
      <c r="J233" s="20">
        <v>0</v>
      </c>
      <c r="K233" s="20">
        <f t="shared" ref="K233" si="40">SUM(E233:J233)</f>
        <v>0</v>
      </c>
      <c r="L233" s="8"/>
      <c r="M233" s="8"/>
    </row>
    <row r="234" spans="1:13" ht="16.5" thickBot="1">
      <c r="A234" s="57"/>
      <c r="B234" s="57"/>
      <c r="C234" s="57" t="s">
        <v>13</v>
      </c>
      <c r="D234" s="29">
        <v>715.22</v>
      </c>
      <c r="E234" s="29">
        <v>823.31</v>
      </c>
      <c r="F234" s="29">
        <v>5.78</v>
      </c>
      <c r="G234" s="29">
        <v>0</v>
      </c>
      <c r="H234" s="29">
        <v>0</v>
      </c>
      <c r="I234" s="29">
        <v>0</v>
      </c>
      <c r="J234" s="29">
        <v>0</v>
      </c>
      <c r="K234" s="29">
        <f>SUM(D234:J235)</f>
        <v>1544.31</v>
      </c>
      <c r="L234" s="8"/>
      <c r="M234" s="8"/>
    </row>
    <row r="235" spans="1:13" ht="16.5" hidden="1" thickBot="1">
      <c r="A235" s="57"/>
      <c r="B235" s="57"/>
      <c r="C235" s="57" t="s">
        <v>109</v>
      </c>
      <c r="D235" s="57"/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f>SUM(E235:J235)</f>
        <v>0</v>
      </c>
      <c r="L235" s="8"/>
      <c r="M235" s="8"/>
    </row>
    <row r="236" spans="1:13">
      <c r="A236" s="57"/>
      <c r="B236" s="57"/>
      <c r="C236" s="57"/>
      <c r="D236" s="57"/>
      <c r="E236" s="20"/>
      <c r="F236" s="20"/>
      <c r="G236" s="20"/>
      <c r="H236" s="20"/>
      <c r="I236" s="20"/>
      <c r="J236" s="20"/>
      <c r="K236" s="20"/>
      <c r="L236" s="8"/>
      <c r="M236" s="8"/>
    </row>
    <row r="237" spans="1:13" ht="16.5" thickBot="1">
      <c r="A237" s="57"/>
      <c r="B237" s="57"/>
      <c r="C237" s="57" t="s">
        <v>10</v>
      </c>
      <c r="D237" s="31">
        <f t="shared" ref="D237:J237" si="41">SUM(D232:D235)</f>
        <v>43961.99</v>
      </c>
      <c r="E237" s="31">
        <f t="shared" si="41"/>
        <v>44410.27</v>
      </c>
      <c r="F237" s="31">
        <f t="shared" si="41"/>
        <v>322.59999999999997</v>
      </c>
      <c r="G237" s="31">
        <f t="shared" si="41"/>
        <v>0</v>
      </c>
      <c r="H237" s="31">
        <f t="shared" si="41"/>
        <v>0</v>
      </c>
      <c r="I237" s="31">
        <f t="shared" si="41"/>
        <v>0</v>
      </c>
      <c r="J237" s="31">
        <f t="shared" si="41"/>
        <v>0</v>
      </c>
      <c r="K237" s="31">
        <f>SUM(D237:J237)</f>
        <v>88694.86</v>
      </c>
      <c r="L237" s="8"/>
      <c r="M237" s="8"/>
    </row>
    <row r="238" spans="1:13" ht="16.5" thickTop="1">
      <c r="A238" s="57"/>
      <c r="B238" s="57"/>
      <c r="C238" s="57"/>
      <c r="D238" s="57"/>
      <c r="E238" s="20"/>
      <c r="F238" s="20"/>
      <c r="G238" s="20"/>
      <c r="H238" s="20"/>
      <c r="I238" s="20"/>
      <c r="J238" s="20"/>
      <c r="K238" s="20"/>
      <c r="L238" s="8"/>
      <c r="M238" s="8"/>
    </row>
    <row r="239" spans="1:13">
      <c r="A239" s="57"/>
      <c r="B239" s="57"/>
      <c r="C239" s="57"/>
      <c r="D239" s="57"/>
      <c r="E239" s="20"/>
      <c r="F239" s="20"/>
      <c r="G239" s="20"/>
      <c r="H239" s="20"/>
      <c r="I239" s="20"/>
      <c r="J239" s="20"/>
      <c r="K239" s="20"/>
      <c r="L239" s="8"/>
      <c r="M239" s="8"/>
    </row>
    <row r="240" spans="1:13">
      <c r="A240" s="57">
        <v>58</v>
      </c>
      <c r="B240" s="57" t="s">
        <v>53</v>
      </c>
      <c r="C240" s="57" t="s">
        <v>12</v>
      </c>
      <c r="D240" s="20">
        <v>24206.54</v>
      </c>
      <c r="E240" s="20">
        <v>23655.82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f>SUM(D240:J240)</f>
        <v>47862.36</v>
      </c>
      <c r="L240" s="8"/>
      <c r="M240" s="8"/>
    </row>
    <row r="241" spans="1:13" ht="16.5" thickBot="1">
      <c r="A241" s="57"/>
      <c r="B241" s="57"/>
      <c r="C241" s="57" t="s">
        <v>116</v>
      </c>
      <c r="D241" s="29">
        <v>6777.83</v>
      </c>
      <c r="E241" s="29">
        <v>30091.59</v>
      </c>
      <c r="F241" s="29">
        <v>0</v>
      </c>
      <c r="G241" s="29">
        <v>0</v>
      </c>
      <c r="H241" s="29"/>
      <c r="I241" s="29"/>
      <c r="J241" s="29"/>
      <c r="K241" s="29">
        <f>SUM(D241:J241)</f>
        <v>36869.42</v>
      </c>
      <c r="L241" s="8"/>
      <c r="M241" s="8"/>
    </row>
    <row r="242" spans="1:13">
      <c r="A242" s="57"/>
      <c r="B242" s="57"/>
      <c r="C242" s="57"/>
      <c r="D242" s="57"/>
      <c r="E242" s="20"/>
      <c r="F242" s="20"/>
      <c r="G242" s="20"/>
      <c r="H242" s="20"/>
      <c r="I242" s="20"/>
      <c r="J242" s="20"/>
      <c r="K242" s="20"/>
      <c r="L242" s="8"/>
      <c r="M242" s="8"/>
    </row>
    <row r="243" spans="1:13" ht="16.5" thickBot="1">
      <c r="A243" s="57"/>
      <c r="B243" s="57"/>
      <c r="C243" s="57" t="s">
        <v>10</v>
      </c>
      <c r="D243" s="31">
        <f t="shared" ref="D243:J243" si="42">SUM(D240:D241)</f>
        <v>30984.370000000003</v>
      </c>
      <c r="E243" s="31">
        <f t="shared" si="42"/>
        <v>53747.41</v>
      </c>
      <c r="F243" s="31">
        <f t="shared" si="42"/>
        <v>0</v>
      </c>
      <c r="G243" s="31">
        <f t="shared" si="42"/>
        <v>0</v>
      </c>
      <c r="H243" s="31">
        <f t="shared" si="42"/>
        <v>0</v>
      </c>
      <c r="I243" s="31">
        <f t="shared" si="42"/>
        <v>0</v>
      </c>
      <c r="J243" s="31">
        <f t="shared" si="42"/>
        <v>0</v>
      </c>
      <c r="K243" s="31">
        <f>SUM(D243:J243)</f>
        <v>84731.78</v>
      </c>
      <c r="L243" s="8"/>
      <c r="M243" s="8"/>
    </row>
    <row r="244" spans="1:13" ht="16.5" thickTop="1">
      <c r="A244" s="57"/>
      <c r="B244" s="57"/>
      <c r="C244" s="57"/>
      <c r="D244" s="57"/>
      <c r="E244" s="20"/>
      <c r="F244" s="20"/>
      <c r="G244" s="20"/>
      <c r="H244" s="20"/>
      <c r="I244" s="20"/>
      <c r="J244" s="20"/>
      <c r="K244" s="20"/>
      <c r="L244" s="8"/>
      <c r="M244" s="8"/>
    </row>
    <row r="245" spans="1:13">
      <c r="A245" s="57"/>
      <c r="B245" s="57"/>
      <c r="C245" s="57"/>
      <c r="D245" s="57"/>
      <c r="E245" s="20"/>
      <c r="F245" s="20"/>
      <c r="G245" s="20"/>
      <c r="H245" s="20"/>
      <c r="I245" s="20"/>
      <c r="J245" s="20"/>
      <c r="K245" s="20"/>
      <c r="L245" s="8"/>
      <c r="M245" s="8"/>
    </row>
    <row r="246" spans="1:13">
      <c r="A246" s="57">
        <v>59</v>
      </c>
      <c r="B246" s="57" t="s">
        <v>54</v>
      </c>
      <c r="C246" s="57" t="s">
        <v>12</v>
      </c>
      <c r="D246" s="20">
        <v>2580.7600000000002</v>
      </c>
      <c r="E246" s="20">
        <v>36479.9</v>
      </c>
      <c r="F246" s="20">
        <v>846.33</v>
      </c>
      <c r="G246" s="20">
        <v>0</v>
      </c>
      <c r="H246" s="20">
        <v>0</v>
      </c>
      <c r="I246" s="20">
        <v>0</v>
      </c>
      <c r="J246" s="20">
        <v>0</v>
      </c>
      <c r="K246" s="20">
        <f>SUM(D246:J246)</f>
        <v>39906.990000000005</v>
      </c>
      <c r="L246" s="8"/>
      <c r="M246" s="8"/>
    </row>
    <row r="247" spans="1:13" ht="16.5" thickBot="1">
      <c r="A247" s="57"/>
      <c r="B247" s="57"/>
      <c r="C247" s="57" t="s">
        <v>35</v>
      </c>
      <c r="D247" s="29">
        <v>0</v>
      </c>
      <c r="E247" s="29">
        <v>2453.25</v>
      </c>
      <c r="F247" s="29"/>
      <c r="G247" s="29"/>
      <c r="H247" s="29">
        <v>0</v>
      </c>
      <c r="I247" s="29">
        <v>0</v>
      </c>
      <c r="J247" s="29">
        <v>0</v>
      </c>
      <c r="K247" s="29">
        <f>SUM(D247:J247)</f>
        <v>2453.25</v>
      </c>
      <c r="L247" s="8"/>
      <c r="M247" s="8"/>
    </row>
    <row r="248" spans="1:13">
      <c r="A248" s="57"/>
      <c r="B248" s="57"/>
      <c r="C248" s="57"/>
      <c r="D248" s="57"/>
      <c r="E248" s="20"/>
      <c r="F248" s="20"/>
      <c r="G248" s="20"/>
      <c r="H248" s="20"/>
      <c r="I248" s="20"/>
      <c r="J248" s="20"/>
      <c r="K248" s="20"/>
      <c r="L248" s="8"/>
      <c r="M248" s="8"/>
    </row>
    <row r="249" spans="1:13" ht="16.5" thickBot="1">
      <c r="A249" s="57"/>
      <c r="B249" s="57"/>
      <c r="C249" s="57" t="s">
        <v>10</v>
      </c>
      <c r="D249" s="31">
        <f t="shared" ref="D249:J249" si="43">SUM(D246:D247)</f>
        <v>2580.7600000000002</v>
      </c>
      <c r="E249" s="31">
        <f t="shared" si="43"/>
        <v>38933.15</v>
      </c>
      <c r="F249" s="31">
        <f t="shared" si="43"/>
        <v>846.33</v>
      </c>
      <c r="G249" s="31">
        <f t="shared" si="43"/>
        <v>0</v>
      </c>
      <c r="H249" s="31">
        <f t="shared" si="43"/>
        <v>0</v>
      </c>
      <c r="I249" s="31">
        <f t="shared" si="43"/>
        <v>0</v>
      </c>
      <c r="J249" s="31">
        <f t="shared" si="43"/>
        <v>0</v>
      </c>
      <c r="K249" s="31">
        <f>SUM(D249:J249)</f>
        <v>42360.240000000005</v>
      </c>
      <c r="L249" s="8"/>
      <c r="M249" s="8"/>
    </row>
    <row r="250" spans="1:13" ht="16.5" thickTop="1">
      <c r="A250" s="57"/>
      <c r="B250" s="57"/>
      <c r="C250" s="57"/>
      <c r="D250" s="57"/>
      <c r="E250" s="20"/>
      <c r="F250" s="20"/>
      <c r="G250" s="20"/>
      <c r="H250" s="20"/>
      <c r="I250" s="20"/>
      <c r="J250" s="20"/>
      <c r="K250" s="20"/>
      <c r="L250" s="8"/>
      <c r="M250" s="8"/>
    </row>
    <row r="251" spans="1:13">
      <c r="A251" s="57"/>
      <c r="B251" s="57"/>
      <c r="C251" s="57"/>
      <c r="D251" s="57"/>
      <c r="E251" s="20"/>
      <c r="F251" s="20"/>
      <c r="G251" s="20"/>
      <c r="H251" s="20"/>
      <c r="I251" s="20"/>
      <c r="J251" s="20"/>
      <c r="K251" s="20"/>
      <c r="L251" s="8"/>
      <c r="M251" s="8"/>
    </row>
    <row r="252" spans="1:13">
      <c r="A252" s="57">
        <v>60</v>
      </c>
      <c r="B252" s="57" t="s">
        <v>55</v>
      </c>
      <c r="C252" s="57" t="s">
        <v>12</v>
      </c>
      <c r="D252" s="20">
        <v>138484.41</v>
      </c>
      <c r="E252" s="20">
        <v>124658.24000000001</v>
      </c>
      <c r="F252" s="20">
        <v>292.98</v>
      </c>
      <c r="G252" s="20">
        <v>0</v>
      </c>
      <c r="H252" s="20">
        <v>0</v>
      </c>
      <c r="I252" s="20">
        <v>0</v>
      </c>
      <c r="J252" s="20">
        <v>0</v>
      </c>
      <c r="K252" s="20">
        <f>SUM(D252:J252)</f>
        <v>263435.63</v>
      </c>
      <c r="L252" s="8"/>
      <c r="M252" s="8"/>
    </row>
    <row r="253" spans="1:13" hidden="1">
      <c r="A253" s="57"/>
      <c r="B253" s="57"/>
      <c r="C253" s="57" t="s">
        <v>35</v>
      </c>
      <c r="D253" s="57"/>
      <c r="E253" s="20"/>
      <c r="F253" s="20"/>
      <c r="G253" s="20"/>
      <c r="H253" s="20">
        <v>0</v>
      </c>
      <c r="I253" s="20">
        <v>0</v>
      </c>
      <c r="J253" s="20">
        <v>0</v>
      </c>
      <c r="K253" s="20">
        <f>SUM(E253:J253)</f>
        <v>0</v>
      </c>
      <c r="L253" s="8"/>
      <c r="M253" s="8"/>
    </row>
    <row r="254" spans="1:13" ht="16.5" thickBot="1">
      <c r="A254" s="57"/>
      <c r="B254" s="57"/>
      <c r="C254" s="57"/>
      <c r="D254" s="29"/>
      <c r="E254" s="29"/>
      <c r="F254" s="29"/>
      <c r="G254" s="29"/>
      <c r="H254" s="29">
        <v>0</v>
      </c>
      <c r="I254" s="29">
        <v>0</v>
      </c>
      <c r="J254" s="29">
        <v>0</v>
      </c>
      <c r="K254" s="29">
        <f>SUM(E254:J254)</f>
        <v>0</v>
      </c>
      <c r="L254" s="8"/>
      <c r="M254" s="8"/>
    </row>
    <row r="255" spans="1:13" hidden="1">
      <c r="A255" s="57"/>
      <c r="B255" s="57"/>
      <c r="C255" s="57" t="s">
        <v>98</v>
      </c>
      <c r="D255" s="57"/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f>SUM(E255:J255)</f>
        <v>0</v>
      </c>
      <c r="L255" s="8"/>
      <c r="M255" s="8"/>
    </row>
    <row r="256" spans="1:13">
      <c r="A256" s="57"/>
      <c r="B256" s="57"/>
      <c r="C256" s="57"/>
      <c r="D256" s="57"/>
      <c r="E256" s="20"/>
      <c r="F256" s="20"/>
      <c r="G256" s="20"/>
      <c r="H256" s="20"/>
      <c r="I256" s="20"/>
      <c r="J256" s="20"/>
      <c r="K256" s="20"/>
      <c r="L256" s="8"/>
      <c r="M256" s="8"/>
    </row>
    <row r="257" spans="1:13">
      <c r="A257" s="57"/>
      <c r="B257" s="57"/>
      <c r="C257" s="57"/>
      <c r="D257" s="57"/>
      <c r="E257" s="20"/>
      <c r="F257" s="20"/>
      <c r="G257" s="20"/>
      <c r="H257" s="20"/>
      <c r="I257" s="20"/>
      <c r="J257" s="20"/>
      <c r="K257" s="20"/>
      <c r="L257" s="8"/>
      <c r="M257" s="8"/>
    </row>
    <row r="258" spans="1:13" ht="16.5" thickBot="1">
      <c r="A258" s="57"/>
      <c r="B258" s="57"/>
      <c r="C258" s="57" t="s">
        <v>10</v>
      </c>
      <c r="D258" s="31">
        <f t="shared" ref="D258:J258" si="44">SUM(D252:D257)</f>
        <v>138484.41</v>
      </c>
      <c r="E258" s="31">
        <f t="shared" si="44"/>
        <v>124658.24000000001</v>
      </c>
      <c r="F258" s="31">
        <f t="shared" si="44"/>
        <v>292.98</v>
      </c>
      <c r="G258" s="31">
        <f t="shared" si="44"/>
        <v>0</v>
      </c>
      <c r="H258" s="31">
        <f t="shared" si="44"/>
        <v>0</v>
      </c>
      <c r="I258" s="31">
        <f t="shared" si="44"/>
        <v>0</v>
      </c>
      <c r="J258" s="31">
        <f t="shared" si="44"/>
        <v>0</v>
      </c>
      <c r="K258" s="31">
        <f>SUM(D258:J258)</f>
        <v>263435.63</v>
      </c>
      <c r="L258" s="8"/>
      <c r="M258" s="8"/>
    </row>
    <row r="259" spans="1:13" ht="16.5" thickTop="1">
      <c r="A259" s="57"/>
      <c r="B259" s="57"/>
      <c r="C259" s="57"/>
      <c r="D259" s="57"/>
      <c r="E259" s="20"/>
      <c r="F259" s="20"/>
      <c r="G259" s="20"/>
      <c r="H259" s="20"/>
      <c r="I259" s="20"/>
      <c r="J259" s="20"/>
      <c r="K259" s="20"/>
      <c r="L259" s="8"/>
      <c r="M259" s="8"/>
    </row>
    <row r="260" spans="1:13">
      <c r="A260" s="57"/>
      <c r="B260" s="57"/>
      <c r="C260" s="57"/>
      <c r="D260" s="57"/>
      <c r="E260" s="20"/>
      <c r="F260" s="20"/>
      <c r="G260" s="20"/>
      <c r="H260" s="20"/>
      <c r="I260" s="20"/>
      <c r="J260" s="20"/>
      <c r="K260" s="20"/>
      <c r="L260" s="8"/>
      <c r="M260" s="8"/>
    </row>
    <row r="261" spans="1:13">
      <c r="A261" s="57">
        <v>61</v>
      </c>
      <c r="B261" s="57" t="s">
        <v>56</v>
      </c>
      <c r="C261" s="57" t="s">
        <v>12</v>
      </c>
      <c r="D261" s="39">
        <v>21208.34</v>
      </c>
      <c r="E261" s="39">
        <v>23410.799999999999</v>
      </c>
      <c r="F261" s="20">
        <v>37.07</v>
      </c>
      <c r="G261" s="20">
        <v>0</v>
      </c>
      <c r="H261" s="20">
        <v>0</v>
      </c>
      <c r="I261" s="20">
        <v>0</v>
      </c>
      <c r="J261" s="20">
        <v>0</v>
      </c>
      <c r="K261" s="20">
        <f>SUM(D261:J261)</f>
        <v>44656.21</v>
      </c>
      <c r="L261" s="8"/>
      <c r="M261" s="8"/>
    </row>
    <row r="262" spans="1:13" ht="16.5" thickBot="1">
      <c r="A262" s="57"/>
      <c r="B262" s="57"/>
      <c r="C262" s="57" t="s">
        <v>13</v>
      </c>
      <c r="D262" s="29">
        <v>2356.48</v>
      </c>
      <c r="E262" s="29">
        <v>2601.1999999999998</v>
      </c>
      <c r="F262" s="29">
        <v>5.4</v>
      </c>
      <c r="G262" s="29">
        <v>0</v>
      </c>
      <c r="H262" s="29">
        <v>0</v>
      </c>
      <c r="I262" s="29">
        <v>0</v>
      </c>
      <c r="J262" s="29">
        <v>0</v>
      </c>
      <c r="K262" s="29">
        <f>SUM(D262:J262)</f>
        <v>4963.08</v>
      </c>
      <c r="L262" s="8"/>
      <c r="M262" s="8"/>
    </row>
    <row r="263" spans="1:13" ht="16.5" hidden="1" thickBot="1">
      <c r="A263" s="57"/>
      <c r="B263" s="57"/>
      <c r="C263" s="57" t="s">
        <v>99</v>
      </c>
      <c r="D263" s="57"/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f>SUM(E263:J263)</f>
        <v>0</v>
      </c>
      <c r="L263" s="8"/>
      <c r="M263" s="8"/>
    </row>
    <row r="264" spans="1:13">
      <c r="A264" s="57"/>
      <c r="B264" s="57"/>
      <c r="C264" s="57"/>
      <c r="D264" s="57"/>
      <c r="E264" s="20"/>
      <c r="F264" s="20"/>
      <c r="G264" s="20"/>
      <c r="H264" s="20"/>
      <c r="I264" s="20"/>
      <c r="J264" s="20"/>
      <c r="K264" s="20"/>
      <c r="L264" s="8"/>
      <c r="M264" s="8"/>
    </row>
    <row r="265" spans="1:13" ht="16.5" thickBot="1">
      <c r="A265" s="57"/>
      <c r="B265" s="57"/>
      <c r="C265" s="57" t="s">
        <v>10</v>
      </c>
      <c r="D265" s="31">
        <f>SUM(D261:D263)</f>
        <v>23564.82</v>
      </c>
      <c r="E265" s="31">
        <f>SUM(E261:E263)</f>
        <v>26012</v>
      </c>
      <c r="F265" s="31">
        <f t="shared" ref="F265:J265" si="45">SUM(F261:F263)</f>
        <v>42.47</v>
      </c>
      <c r="G265" s="31">
        <f t="shared" si="45"/>
        <v>0</v>
      </c>
      <c r="H265" s="31">
        <f t="shared" si="45"/>
        <v>0</v>
      </c>
      <c r="I265" s="31">
        <f t="shared" si="45"/>
        <v>0</v>
      </c>
      <c r="J265" s="31">
        <f t="shared" si="45"/>
        <v>0</v>
      </c>
      <c r="K265" s="31">
        <f>SUM(K261:K263)</f>
        <v>49619.29</v>
      </c>
      <c r="L265" s="8"/>
      <c r="M265" s="8"/>
    </row>
    <row r="266" spans="1:13" ht="16.5" thickTop="1">
      <c r="A266" s="57"/>
      <c r="B266" s="57"/>
      <c r="C266" s="57"/>
      <c r="D266" s="57"/>
      <c r="E266" s="20"/>
      <c r="F266" s="20"/>
      <c r="G266" s="20"/>
      <c r="H266" s="20"/>
      <c r="I266" s="20"/>
      <c r="J266" s="20"/>
      <c r="K266" s="20"/>
      <c r="L266" s="8"/>
      <c r="M266" s="8"/>
    </row>
    <row r="267" spans="1:13">
      <c r="A267" s="57"/>
      <c r="B267" s="57"/>
      <c r="C267" s="57"/>
      <c r="D267" s="57"/>
      <c r="E267" s="20"/>
      <c r="F267" s="20"/>
      <c r="G267" s="20"/>
      <c r="H267" s="20"/>
      <c r="I267" s="20"/>
      <c r="J267" s="20"/>
      <c r="K267" s="20"/>
      <c r="L267" s="8"/>
      <c r="M267" s="8"/>
    </row>
    <row r="268" spans="1:13">
      <c r="A268" s="57">
        <v>62</v>
      </c>
      <c r="B268" s="57" t="s">
        <v>57</v>
      </c>
      <c r="C268" s="57" t="s">
        <v>12</v>
      </c>
      <c r="D268" s="20">
        <v>12895</v>
      </c>
      <c r="E268" s="20">
        <v>14390.25</v>
      </c>
      <c r="F268" s="20">
        <v>0</v>
      </c>
      <c r="G268" s="20">
        <v>0</v>
      </c>
      <c r="H268" s="20">
        <v>0</v>
      </c>
      <c r="I268" s="20">
        <v>0</v>
      </c>
      <c r="J268" s="20">
        <v>0</v>
      </c>
      <c r="K268" s="20">
        <f>SUM(D268:J268)</f>
        <v>27285.25</v>
      </c>
      <c r="L268" s="8"/>
      <c r="M268" s="8"/>
    </row>
    <row r="269" spans="1:13" ht="16.5" thickBot="1">
      <c r="A269" s="57"/>
      <c r="B269" s="57"/>
      <c r="C269" s="57" t="s">
        <v>13</v>
      </c>
      <c r="D269" s="29">
        <v>1434.36</v>
      </c>
      <c r="E269" s="29">
        <v>1598.92</v>
      </c>
      <c r="F269" s="29">
        <v>0</v>
      </c>
      <c r="G269" s="29">
        <v>0</v>
      </c>
      <c r="H269" s="29">
        <v>0</v>
      </c>
      <c r="I269" s="29">
        <v>0</v>
      </c>
      <c r="J269" s="29">
        <v>0</v>
      </c>
      <c r="K269" s="29">
        <f>SUM(D269:J269)</f>
        <v>3033.2799999999997</v>
      </c>
      <c r="L269" s="8"/>
      <c r="M269" s="8"/>
    </row>
    <row r="270" spans="1:13">
      <c r="A270" s="57"/>
      <c r="B270" s="57"/>
      <c r="C270" s="57"/>
      <c r="D270" s="57"/>
      <c r="E270" s="20"/>
      <c r="F270" s="20"/>
      <c r="G270" s="20"/>
      <c r="H270" s="20"/>
      <c r="I270" s="20"/>
      <c r="J270" s="20"/>
      <c r="K270" s="20"/>
      <c r="L270" s="8"/>
      <c r="M270" s="8"/>
    </row>
    <row r="271" spans="1:13" ht="16.5" thickBot="1">
      <c r="A271" s="57"/>
      <c r="B271" s="57"/>
      <c r="C271" s="57" t="s">
        <v>10</v>
      </c>
      <c r="D271" s="31">
        <f t="shared" ref="D271:J271" si="46">SUM(D268:D269)</f>
        <v>14329.36</v>
      </c>
      <c r="E271" s="31">
        <f t="shared" si="46"/>
        <v>15989.17</v>
      </c>
      <c r="F271" s="31">
        <f t="shared" si="46"/>
        <v>0</v>
      </c>
      <c r="G271" s="31">
        <f t="shared" si="46"/>
        <v>0</v>
      </c>
      <c r="H271" s="31">
        <f t="shared" si="46"/>
        <v>0</v>
      </c>
      <c r="I271" s="31">
        <f t="shared" si="46"/>
        <v>0</v>
      </c>
      <c r="J271" s="31">
        <f t="shared" si="46"/>
        <v>0</v>
      </c>
      <c r="K271" s="31">
        <f>SUM(D271:J271)</f>
        <v>30318.53</v>
      </c>
      <c r="L271" s="8"/>
      <c r="M271" s="8"/>
    </row>
    <row r="272" spans="1:13" ht="16.5" thickTop="1">
      <c r="A272" s="57"/>
      <c r="B272" s="57"/>
      <c r="C272" s="57"/>
      <c r="D272" s="57"/>
      <c r="E272" s="20"/>
      <c r="F272" s="20"/>
      <c r="G272" s="20"/>
      <c r="H272" s="20"/>
      <c r="I272" s="20"/>
      <c r="J272" s="20"/>
      <c r="K272" s="20"/>
      <c r="L272" s="8"/>
      <c r="M272" s="8"/>
    </row>
    <row r="273" spans="1:13">
      <c r="A273" s="57"/>
      <c r="B273" s="57"/>
      <c r="C273" s="57"/>
      <c r="D273" s="57"/>
      <c r="E273" s="20"/>
      <c r="F273" s="20"/>
      <c r="G273" s="20"/>
      <c r="H273" s="20"/>
      <c r="I273" s="20"/>
      <c r="J273" s="20"/>
      <c r="K273" s="20"/>
      <c r="L273" s="8"/>
      <c r="M273" s="8"/>
    </row>
    <row r="274" spans="1:13">
      <c r="A274" s="57">
        <v>63</v>
      </c>
      <c r="B274" s="57" t="s">
        <v>58</v>
      </c>
      <c r="C274" s="57" t="s">
        <v>12</v>
      </c>
      <c r="D274" s="20">
        <v>14827.74</v>
      </c>
      <c r="E274" s="20">
        <v>16790.310000000001</v>
      </c>
      <c r="F274" s="20">
        <v>272.64</v>
      </c>
      <c r="G274" s="20">
        <v>0</v>
      </c>
      <c r="H274" s="20">
        <v>0</v>
      </c>
      <c r="I274" s="20">
        <v>0</v>
      </c>
      <c r="J274" s="20">
        <v>0</v>
      </c>
      <c r="K274" s="20">
        <f>SUM(D274:J274)</f>
        <v>31890.690000000002</v>
      </c>
      <c r="L274" s="8"/>
      <c r="M274" s="8"/>
    </row>
    <row r="275" spans="1:13" ht="16.5" thickBot="1">
      <c r="A275" s="57"/>
      <c r="B275" s="57"/>
      <c r="C275" s="57" t="s">
        <v>13</v>
      </c>
      <c r="D275" s="29">
        <v>604.49</v>
      </c>
      <c r="E275" s="29">
        <v>662.42</v>
      </c>
      <c r="F275" s="29">
        <v>10.39</v>
      </c>
      <c r="G275" s="29">
        <v>0</v>
      </c>
      <c r="H275" s="29">
        <v>0</v>
      </c>
      <c r="I275" s="29">
        <v>0</v>
      </c>
      <c r="J275" s="29">
        <v>0</v>
      </c>
      <c r="K275" s="29">
        <f>SUM(D275:J275)</f>
        <v>1277.3</v>
      </c>
      <c r="L275" s="8"/>
      <c r="M275" s="8"/>
    </row>
    <row r="276" spans="1:13">
      <c r="A276" s="57"/>
      <c r="B276" s="57"/>
      <c r="C276" s="57"/>
      <c r="D276" s="57"/>
      <c r="E276" s="20"/>
      <c r="F276" s="20"/>
      <c r="G276" s="20"/>
      <c r="H276" s="20"/>
      <c r="I276" s="20"/>
      <c r="J276" s="20"/>
      <c r="K276" s="20"/>
      <c r="L276" s="8"/>
      <c r="M276" s="8"/>
    </row>
    <row r="277" spans="1:13" ht="16.5" thickBot="1">
      <c r="A277" s="57"/>
      <c r="B277" s="57"/>
      <c r="C277" s="57" t="s">
        <v>10</v>
      </c>
      <c r="D277" s="31">
        <f t="shared" ref="D277:J277" si="47">SUM(D274:D275)</f>
        <v>15432.23</v>
      </c>
      <c r="E277" s="31">
        <f t="shared" si="47"/>
        <v>17452.73</v>
      </c>
      <c r="F277" s="31">
        <f t="shared" si="47"/>
        <v>283.02999999999997</v>
      </c>
      <c r="G277" s="31">
        <f t="shared" si="47"/>
        <v>0</v>
      </c>
      <c r="H277" s="31">
        <f t="shared" si="47"/>
        <v>0</v>
      </c>
      <c r="I277" s="31">
        <f t="shared" si="47"/>
        <v>0</v>
      </c>
      <c r="J277" s="31">
        <f t="shared" si="47"/>
        <v>0</v>
      </c>
      <c r="K277" s="31">
        <f>SUM(D277:J277)</f>
        <v>33167.99</v>
      </c>
      <c r="L277" s="8"/>
      <c r="M277" s="8"/>
    </row>
    <row r="278" spans="1:13" ht="16.5" thickTop="1">
      <c r="A278" s="57"/>
      <c r="B278" s="57"/>
      <c r="C278" s="57"/>
      <c r="D278" s="57"/>
      <c r="E278" s="20"/>
      <c r="F278" s="20"/>
      <c r="G278" s="20"/>
      <c r="H278" s="20"/>
      <c r="I278" s="20"/>
      <c r="J278" s="20"/>
      <c r="K278" s="20"/>
      <c r="L278" s="8"/>
      <c r="M278" s="8"/>
    </row>
    <row r="279" spans="1:13">
      <c r="A279" s="57"/>
      <c r="B279" s="57"/>
      <c r="C279" s="57"/>
      <c r="D279" s="57"/>
      <c r="E279" s="20"/>
      <c r="F279" s="20"/>
      <c r="G279" s="20"/>
      <c r="H279" s="20"/>
      <c r="I279" s="20"/>
      <c r="J279" s="20"/>
      <c r="K279" s="20"/>
      <c r="L279" s="8"/>
      <c r="M279" s="8"/>
    </row>
    <row r="280" spans="1:13" ht="16.5" thickBot="1">
      <c r="A280" s="57">
        <v>64</v>
      </c>
      <c r="B280" s="57" t="s">
        <v>59</v>
      </c>
      <c r="C280" s="57" t="s">
        <v>12</v>
      </c>
      <c r="D280" s="50">
        <v>71226.600000000006</v>
      </c>
      <c r="E280" s="50">
        <v>94464.29</v>
      </c>
      <c r="F280" s="29">
        <v>304.35000000000002</v>
      </c>
      <c r="G280" s="29">
        <v>0</v>
      </c>
      <c r="H280" s="29">
        <v>0</v>
      </c>
      <c r="I280" s="29">
        <v>0</v>
      </c>
      <c r="J280" s="29">
        <v>0</v>
      </c>
      <c r="K280" s="29">
        <f>SUM(D280:J280)</f>
        <v>165995.24000000002</v>
      </c>
      <c r="L280" s="8"/>
      <c r="M280" s="8"/>
    </row>
    <row r="281" spans="1:13">
      <c r="A281" s="57"/>
      <c r="B281" s="57"/>
      <c r="C281" s="57"/>
      <c r="D281" s="57"/>
      <c r="E281" s="20"/>
      <c r="F281" s="20"/>
      <c r="G281" s="20"/>
      <c r="H281" s="20"/>
      <c r="I281" s="20"/>
      <c r="J281" s="20"/>
      <c r="K281" s="20"/>
      <c r="L281" s="8"/>
      <c r="M281" s="8"/>
    </row>
    <row r="282" spans="1:13" ht="16.5" thickBot="1">
      <c r="A282" s="57"/>
      <c r="B282" s="57"/>
      <c r="C282" s="57" t="s">
        <v>10</v>
      </c>
      <c r="D282" s="31">
        <f t="shared" ref="D282:J282" si="48">SUM(D280:D281)</f>
        <v>71226.600000000006</v>
      </c>
      <c r="E282" s="31">
        <f t="shared" si="48"/>
        <v>94464.29</v>
      </c>
      <c r="F282" s="31">
        <f t="shared" si="48"/>
        <v>304.35000000000002</v>
      </c>
      <c r="G282" s="31">
        <f t="shared" si="48"/>
        <v>0</v>
      </c>
      <c r="H282" s="31">
        <f t="shared" si="48"/>
        <v>0</v>
      </c>
      <c r="I282" s="31">
        <f t="shared" si="48"/>
        <v>0</v>
      </c>
      <c r="J282" s="31">
        <f t="shared" si="48"/>
        <v>0</v>
      </c>
      <c r="K282" s="31">
        <f>SUM(D282:J282)</f>
        <v>165995.24000000002</v>
      </c>
      <c r="L282" s="8"/>
      <c r="M282" s="8"/>
    </row>
    <row r="283" spans="1:13" ht="16.5" thickTop="1">
      <c r="A283" s="57"/>
      <c r="B283" s="57"/>
      <c r="C283" s="57"/>
      <c r="D283" s="57"/>
      <c r="E283" s="20"/>
      <c r="F283" s="20"/>
      <c r="G283" s="20"/>
      <c r="H283" s="20"/>
      <c r="I283" s="20"/>
      <c r="J283" s="20"/>
      <c r="K283" s="20"/>
      <c r="L283" s="8"/>
      <c r="M283" s="8"/>
    </row>
    <row r="284" spans="1:13">
      <c r="A284" s="57"/>
      <c r="B284" s="59"/>
      <c r="C284" s="59"/>
      <c r="D284" s="59"/>
      <c r="E284" s="36"/>
      <c r="F284" s="36"/>
      <c r="G284" s="36"/>
      <c r="H284" s="22"/>
      <c r="I284" s="22"/>
      <c r="J284" s="22"/>
      <c r="K284" s="20"/>
      <c r="L284" s="8"/>
      <c r="M284" s="8"/>
    </row>
    <row r="285" spans="1:13" ht="16.5" thickBot="1">
      <c r="A285" s="57">
        <v>65</v>
      </c>
      <c r="B285" s="57" t="s">
        <v>60</v>
      </c>
      <c r="C285" s="57" t="s">
        <v>12</v>
      </c>
      <c r="D285" s="29">
        <v>22892.26</v>
      </c>
      <c r="E285" s="29">
        <v>22995.69</v>
      </c>
      <c r="F285" s="29">
        <v>35.159999999999997</v>
      </c>
      <c r="G285" s="29">
        <v>0</v>
      </c>
      <c r="H285" s="29">
        <v>0</v>
      </c>
      <c r="I285" s="29">
        <v>0</v>
      </c>
      <c r="J285" s="29">
        <v>0</v>
      </c>
      <c r="K285" s="29">
        <f>SUM(D285:J286)</f>
        <v>45923.11</v>
      </c>
      <c r="L285" s="8"/>
      <c r="M285" s="8"/>
    </row>
    <row r="286" spans="1:13" ht="16.5" hidden="1" thickBot="1">
      <c r="A286" s="57"/>
      <c r="B286" s="57"/>
      <c r="C286" s="57" t="s">
        <v>13</v>
      </c>
      <c r="D286" s="57"/>
      <c r="E286" s="29"/>
      <c r="F286" s="29"/>
      <c r="G286" s="29"/>
      <c r="H286" s="29"/>
      <c r="I286" s="29"/>
      <c r="J286" s="29"/>
      <c r="K286" s="29"/>
      <c r="L286" s="8"/>
      <c r="M286" s="8"/>
    </row>
    <row r="287" spans="1:13">
      <c r="A287" s="57"/>
      <c r="B287" s="57"/>
      <c r="C287" s="57"/>
      <c r="D287" s="57"/>
      <c r="E287" s="20"/>
      <c r="F287" s="20"/>
      <c r="G287" s="20"/>
      <c r="H287" s="20"/>
      <c r="I287" s="20"/>
      <c r="J287" s="20"/>
      <c r="K287" s="20"/>
      <c r="L287" s="8"/>
      <c r="M287" s="8"/>
    </row>
    <row r="288" spans="1:13" ht="16.5" thickBot="1">
      <c r="A288" s="57"/>
      <c r="B288" s="57"/>
      <c r="C288" s="57" t="s">
        <v>10</v>
      </c>
      <c r="D288" s="31">
        <f t="shared" ref="D288:J288" si="49">SUM(D285:D286)</f>
        <v>22892.26</v>
      </c>
      <c r="E288" s="31">
        <f t="shared" si="49"/>
        <v>22995.69</v>
      </c>
      <c r="F288" s="31">
        <f t="shared" si="49"/>
        <v>35.159999999999997</v>
      </c>
      <c r="G288" s="31">
        <f t="shared" si="49"/>
        <v>0</v>
      </c>
      <c r="H288" s="31">
        <f t="shared" si="49"/>
        <v>0</v>
      </c>
      <c r="I288" s="31">
        <f t="shared" si="49"/>
        <v>0</v>
      </c>
      <c r="J288" s="31">
        <f t="shared" si="49"/>
        <v>0</v>
      </c>
      <c r="K288" s="31">
        <f>SUM(D288:J288)</f>
        <v>45923.11</v>
      </c>
      <c r="L288" s="8"/>
      <c r="M288" s="8"/>
    </row>
    <row r="289" spans="1:13" ht="16.5" thickTop="1">
      <c r="A289" s="57"/>
      <c r="B289" s="57"/>
      <c r="C289" s="57"/>
      <c r="D289" s="57"/>
      <c r="E289" s="20"/>
      <c r="F289" s="20"/>
      <c r="G289" s="20"/>
      <c r="H289" s="20"/>
      <c r="I289" s="20"/>
      <c r="J289" s="20"/>
      <c r="K289" s="20"/>
      <c r="L289" s="8"/>
      <c r="M289" s="8"/>
    </row>
    <row r="290" spans="1:13">
      <c r="A290" s="57"/>
      <c r="B290" s="57"/>
      <c r="C290" s="57"/>
      <c r="D290" s="57"/>
      <c r="E290" s="20"/>
      <c r="F290" s="20"/>
      <c r="G290" s="20"/>
      <c r="H290" s="20"/>
      <c r="I290" s="20"/>
      <c r="J290" s="20"/>
      <c r="K290" s="20"/>
      <c r="L290" s="8"/>
      <c r="M290" s="8"/>
    </row>
    <row r="291" spans="1:13">
      <c r="A291" s="57">
        <v>66</v>
      </c>
      <c r="B291" s="57" t="s">
        <v>61</v>
      </c>
      <c r="C291" s="57" t="s">
        <v>12</v>
      </c>
      <c r="D291" s="20">
        <v>25772.19</v>
      </c>
      <c r="E291" s="20">
        <v>24831.97</v>
      </c>
      <c r="F291" s="20">
        <v>762.99</v>
      </c>
      <c r="G291" s="20">
        <v>0</v>
      </c>
      <c r="H291" s="20">
        <v>0</v>
      </c>
      <c r="I291" s="20">
        <v>0</v>
      </c>
      <c r="J291" s="20">
        <v>0</v>
      </c>
      <c r="K291" s="20">
        <f>SUM(D291:J291)</f>
        <v>51367.15</v>
      </c>
      <c r="L291" s="8"/>
      <c r="M291" s="8"/>
    </row>
    <row r="292" spans="1:13" hidden="1">
      <c r="A292" s="57"/>
      <c r="B292" s="57"/>
      <c r="C292" s="57" t="s">
        <v>35</v>
      </c>
      <c r="D292" s="20"/>
      <c r="E292" s="20"/>
      <c r="F292" s="20"/>
      <c r="G292" s="20"/>
      <c r="H292" s="20">
        <v>0</v>
      </c>
      <c r="I292" s="20">
        <v>0</v>
      </c>
      <c r="J292" s="20">
        <v>0</v>
      </c>
      <c r="K292" s="20">
        <f>SUM(E292:J292)</f>
        <v>0</v>
      </c>
      <c r="L292" s="8"/>
      <c r="M292" s="8"/>
    </row>
    <row r="293" spans="1:13" hidden="1">
      <c r="A293" s="57"/>
      <c r="B293" s="57"/>
      <c r="C293" s="57" t="s">
        <v>73</v>
      </c>
      <c r="D293" s="20"/>
      <c r="E293" s="20"/>
      <c r="F293" s="20"/>
      <c r="G293" s="20"/>
      <c r="H293" s="20">
        <v>0</v>
      </c>
      <c r="I293" s="20">
        <v>0</v>
      </c>
      <c r="J293" s="20">
        <v>0</v>
      </c>
      <c r="K293" s="20">
        <f>SUM(E293:J293)</f>
        <v>0</v>
      </c>
      <c r="L293" s="8"/>
      <c r="M293" s="8"/>
    </row>
    <row r="294" spans="1:13" ht="16.5" thickBot="1">
      <c r="A294" s="57"/>
      <c r="B294" s="57"/>
      <c r="C294" s="57"/>
      <c r="D294" s="29"/>
      <c r="E294" s="29"/>
      <c r="F294" s="29"/>
      <c r="G294" s="29"/>
      <c r="H294" s="29">
        <v>0</v>
      </c>
      <c r="I294" s="29">
        <v>0</v>
      </c>
      <c r="J294" s="29">
        <v>0</v>
      </c>
      <c r="K294" s="29">
        <f>SUM(E294:J294)</f>
        <v>0</v>
      </c>
      <c r="L294" s="8"/>
      <c r="M294" s="8"/>
    </row>
    <row r="295" spans="1:13">
      <c r="A295" s="57"/>
      <c r="B295" s="57"/>
      <c r="C295" s="57"/>
      <c r="D295" s="57"/>
      <c r="E295" s="20"/>
      <c r="F295" s="20"/>
      <c r="G295" s="20"/>
      <c r="H295" s="20"/>
      <c r="I295" s="20"/>
      <c r="J295" s="20"/>
      <c r="K295" s="20"/>
      <c r="L295" s="8"/>
      <c r="M295" s="8"/>
    </row>
    <row r="296" spans="1:13" ht="16.5" thickBot="1">
      <c r="A296" s="57"/>
      <c r="B296" s="57"/>
      <c r="C296" s="57" t="s">
        <v>10</v>
      </c>
      <c r="D296" s="31">
        <f t="shared" ref="D296:J296" si="50">SUM(D291:D294)</f>
        <v>25772.19</v>
      </c>
      <c r="E296" s="31">
        <f t="shared" si="50"/>
        <v>24831.97</v>
      </c>
      <c r="F296" s="31">
        <f t="shared" si="50"/>
        <v>762.99</v>
      </c>
      <c r="G296" s="31">
        <f t="shared" si="50"/>
        <v>0</v>
      </c>
      <c r="H296" s="31">
        <f t="shared" si="50"/>
        <v>0</v>
      </c>
      <c r="I296" s="31">
        <f t="shared" si="50"/>
        <v>0</v>
      </c>
      <c r="J296" s="31">
        <f t="shared" si="50"/>
        <v>0</v>
      </c>
      <c r="K296" s="31">
        <f>SUM(D296:J296)</f>
        <v>51367.15</v>
      </c>
      <c r="L296" s="8"/>
      <c r="M296" s="8"/>
    </row>
    <row r="297" spans="1:13" ht="16.5" thickTop="1">
      <c r="A297" s="57"/>
      <c r="B297" s="57"/>
      <c r="C297" s="57"/>
      <c r="D297" s="57"/>
      <c r="E297" s="20"/>
      <c r="F297" s="20"/>
      <c r="G297" s="20"/>
      <c r="H297" s="20"/>
      <c r="I297" s="20"/>
      <c r="J297" s="20"/>
      <c r="K297" s="20"/>
      <c r="L297" s="8"/>
      <c r="M297" s="8"/>
    </row>
    <row r="298" spans="1:13">
      <c r="A298" s="57"/>
      <c r="B298" s="57"/>
      <c r="C298" s="57"/>
      <c r="D298" s="57"/>
      <c r="E298" s="20"/>
      <c r="F298" s="20"/>
      <c r="G298" s="20"/>
      <c r="H298" s="20"/>
      <c r="I298" s="20"/>
      <c r="J298" s="20"/>
      <c r="K298" s="20"/>
      <c r="L298" s="8"/>
      <c r="M298" s="8"/>
    </row>
    <row r="299" spans="1:13">
      <c r="A299" s="57">
        <v>67</v>
      </c>
      <c r="B299" s="57" t="s">
        <v>62</v>
      </c>
      <c r="C299" s="57" t="s">
        <v>12</v>
      </c>
      <c r="D299" s="20">
        <v>58767.45</v>
      </c>
      <c r="E299" s="20">
        <v>55391.5</v>
      </c>
      <c r="F299" s="20">
        <v>786.93</v>
      </c>
      <c r="G299" s="20">
        <v>0</v>
      </c>
      <c r="H299" s="20">
        <v>0</v>
      </c>
      <c r="I299" s="20">
        <v>0</v>
      </c>
      <c r="J299" s="20">
        <v>0</v>
      </c>
      <c r="K299" s="20">
        <f>SUM(D299:J299)</f>
        <v>114945.87999999999</v>
      </c>
      <c r="L299" s="8"/>
      <c r="M299" s="8"/>
    </row>
    <row r="300" spans="1:13" ht="16.5" thickBot="1">
      <c r="A300" s="57"/>
      <c r="B300" s="57"/>
      <c r="C300" s="57" t="s">
        <v>13</v>
      </c>
      <c r="D300" s="29">
        <v>481.04</v>
      </c>
      <c r="E300" s="29">
        <v>507.76</v>
      </c>
      <c r="F300" s="29">
        <v>9.1</v>
      </c>
      <c r="G300" s="29">
        <v>0</v>
      </c>
      <c r="H300" s="29">
        <v>0</v>
      </c>
      <c r="I300" s="29">
        <v>0</v>
      </c>
      <c r="J300" s="29">
        <v>0</v>
      </c>
      <c r="K300" s="29">
        <f>SUM(D300:J300)</f>
        <v>997.9</v>
      </c>
      <c r="L300" s="8"/>
      <c r="M300" s="8"/>
    </row>
    <row r="301" spans="1:13">
      <c r="A301" s="57"/>
      <c r="B301" s="57"/>
      <c r="C301" s="57"/>
      <c r="D301" s="57"/>
      <c r="E301" s="20"/>
      <c r="F301" s="20"/>
      <c r="G301" s="20"/>
      <c r="H301" s="20"/>
      <c r="I301" s="20"/>
      <c r="J301" s="20"/>
      <c r="K301" s="20"/>
      <c r="L301" s="8"/>
      <c r="M301" s="8"/>
    </row>
    <row r="302" spans="1:13" ht="16.5" thickBot="1">
      <c r="A302" s="57"/>
      <c r="B302" s="57"/>
      <c r="C302" s="57" t="s">
        <v>10</v>
      </c>
      <c r="D302" s="31">
        <f t="shared" ref="D302:J302" si="51">SUM(D299:D300)</f>
        <v>59248.49</v>
      </c>
      <c r="E302" s="31">
        <f t="shared" si="51"/>
        <v>55899.26</v>
      </c>
      <c r="F302" s="31">
        <f t="shared" si="51"/>
        <v>796.03</v>
      </c>
      <c r="G302" s="31">
        <f t="shared" si="51"/>
        <v>0</v>
      </c>
      <c r="H302" s="31">
        <f t="shared" si="51"/>
        <v>0</v>
      </c>
      <c r="I302" s="31">
        <f t="shared" si="51"/>
        <v>0</v>
      </c>
      <c r="J302" s="31">
        <f t="shared" si="51"/>
        <v>0</v>
      </c>
      <c r="K302" s="31">
        <f>SUM(E302:J302)</f>
        <v>56695.29</v>
      </c>
      <c r="L302" s="8"/>
      <c r="M302" s="8"/>
    </row>
    <row r="303" spans="1:13" ht="16.5" thickTop="1">
      <c r="A303" s="57"/>
      <c r="B303" s="57"/>
      <c r="C303" s="57"/>
      <c r="D303" s="57"/>
      <c r="E303" s="20"/>
      <c r="F303" s="20"/>
      <c r="G303" s="20"/>
      <c r="H303" s="20"/>
      <c r="I303" s="20"/>
      <c r="J303" s="20"/>
      <c r="K303" s="20"/>
      <c r="L303" s="8"/>
      <c r="M303" s="8"/>
    </row>
    <row r="304" spans="1:13">
      <c r="A304" s="57"/>
      <c r="B304" s="57"/>
      <c r="C304" s="57"/>
      <c r="D304" s="57"/>
      <c r="E304" s="20"/>
      <c r="F304" s="20"/>
      <c r="G304" s="20"/>
      <c r="H304" s="20"/>
      <c r="I304" s="20"/>
      <c r="J304" s="20"/>
      <c r="K304" s="20"/>
      <c r="L304" s="8"/>
      <c r="M304" s="8"/>
    </row>
    <row r="305" spans="1:13">
      <c r="A305" s="57">
        <v>68</v>
      </c>
      <c r="B305" s="57" t="s">
        <v>63</v>
      </c>
      <c r="C305" s="57" t="s">
        <v>12</v>
      </c>
      <c r="D305" s="25">
        <v>22629.18</v>
      </c>
      <c r="E305" s="25">
        <v>23446.34</v>
      </c>
      <c r="F305" s="25">
        <v>87.05</v>
      </c>
      <c r="G305" s="25">
        <v>0</v>
      </c>
      <c r="H305" s="25">
        <v>0</v>
      </c>
      <c r="I305" s="25">
        <v>0</v>
      </c>
      <c r="J305" s="25">
        <v>0</v>
      </c>
      <c r="K305" s="25">
        <f>SUM(D305:J306)</f>
        <v>46162.570000000007</v>
      </c>
      <c r="L305" s="8"/>
      <c r="M305" s="8"/>
    </row>
    <row r="306" spans="1:13" ht="16.5" hidden="1" thickBot="1">
      <c r="A306" s="57"/>
      <c r="B306" s="57"/>
      <c r="C306" s="57" t="s">
        <v>13</v>
      </c>
      <c r="D306" s="57"/>
      <c r="E306" s="29"/>
      <c r="F306" s="29"/>
      <c r="G306" s="29"/>
      <c r="H306" s="29"/>
      <c r="I306" s="29"/>
      <c r="J306" s="29"/>
      <c r="K306" s="29"/>
      <c r="L306" s="8"/>
      <c r="M306" s="8"/>
    </row>
    <row r="307" spans="1:13">
      <c r="A307" s="57"/>
      <c r="B307" s="57"/>
      <c r="C307" s="57"/>
      <c r="D307" s="57"/>
      <c r="E307" s="20"/>
      <c r="F307" s="20"/>
      <c r="G307" s="20"/>
      <c r="H307" s="20"/>
      <c r="I307" s="20"/>
      <c r="J307" s="20"/>
      <c r="K307" s="20"/>
      <c r="L307" s="8"/>
      <c r="M307" s="8"/>
    </row>
    <row r="308" spans="1:13" ht="16.5" thickBot="1">
      <c r="A308" s="57"/>
      <c r="B308" s="57"/>
      <c r="C308" s="57" t="s">
        <v>10</v>
      </c>
      <c r="D308" s="31">
        <f t="shared" ref="D308:J308" si="52">SUM(D305:D306)</f>
        <v>22629.18</v>
      </c>
      <c r="E308" s="31">
        <f t="shared" si="52"/>
        <v>23446.34</v>
      </c>
      <c r="F308" s="31">
        <f t="shared" si="52"/>
        <v>87.05</v>
      </c>
      <c r="G308" s="31">
        <f t="shared" si="52"/>
        <v>0</v>
      </c>
      <c r="H308" s="31">
        <f t="shared" si="52"/>
        <v>0</v>
      </c>
      <c r="I308" s="31">
        <f t="shared" si="52"/>
        <v>0</v>
      </c>
      <c r="J308" s="31">
        <f t="shared" si="52"/>
        <v>0</v>
      </c>
      <c r="K308" s="31">
        <f>SUM(D308:J308)</f>
        <v>46162.570000000007</v>
      </c>
      <c r="L308" s="8"/>
      <c r="M308" s="8"/>
    </row>
    <row r="309" spans="1:13" ht="16.5" thickTop="1">
      <c r="A309" s="57"/>
      <c r="B309" s="57"/>
      <c r="C309" s="57"/>
      <c r="D309" s="57"/>
      <c r="E309" s="20"/>
      <c r="F309" s="20"/>
      <c r="G309" s="20"/>
      <c r="H309" s="20"/>
      <c r="I309" s="20"/>
      <c r="J309" s="20"/>
      <c r="K309" s="20"/>
      <c r="L309" s="8"/>
      <c r="M309" s="8"/>
    </row>
    <row r="310" spans="1:13">
      <c r="A310" s="57"/>
      <c r="B310" s="57"/>
      <c r="C310" s="57"/>
      <c r="D310" s="57"/>
      <c r="E310" s="20"/>
      <c r="F310" s="20"/>
      <c r="G310" s="20"/>
      <c r="H310" s="20"/>
      <c r="I310" s="20"/>
      <c r="J310" s="20"/>
      <c r="K310" s="20"/>
      <c r="L310" s="8"/>
      <c r="M310" s="8"/>
    </row>
    <row r="311" spans="1:13">
      <c r="A311" s="57">
        <v>69</v>
      </c>
      <c r="B311" s="57" t="s">
        <v>64</v>
      </c>
      <c r="C311" s="57" t="s">
        <v>12</v>
      </c>
      <c r="D311" s="25">
        <v>23411.17</v>
      </c>
      <c r="E311" s="25">
        <v>25499.040000000001</v>
      </c>
      <c r="F311" s="25">
        <v>47.93</v>
      </c>
      <c r="G311" s="25">
        <v>0</v>
      </c>
      <c r="H311" s="25">
        <v>0</v>
      </c>
      <c r="I311" s="25">
        <v>0</v>
      </c>
      <c r="J311" s="25">
        <v>0</v>
      </c>
      <c r="K311" s="25">
        <f>SUM(D311:J311)</f>
        <v>48958.14</v>
      </c>
      <c r="L311" s="8"/>
      <c r="M311" s="8"/>
    </row>
    <row r="312" spans="1:13" ht="16.5" hidden="1" thickBot="1">
      <c r="A312" s="57"/>
      <c r="B312" s="57"/>
      <c r="C312" s="57" t="s">
        <v>13</v>
      </c>
      <c r="D312" s="57"/>
      <c r="E312" s="29"/>
      <c r="F312" s="29"/>
      <c r="G312" s="29"/>
      <c r="H312" s="29"/>
      <c r="I312" s="29"/>
      <c r="J312" s="29"/>
      <c r="K312" s="29">
        <v>0</v>
      </c>
      <c r="L312" s="8"/>
      <c r="M312" s="8"/>
    </row>
    <row r="313" spans="1:13">
      <c r="A313" s="57"/>
      <c r="B313" s="57"/>
      <c r="C313" s="57"/>
      <c r="D313" s="57"/>
      <c r="E313" s="20"/>
      <c r="F313" s="20"/>
      <c r="G313" s="20"/>
      <c r="H313" s="20"/>
      <c r="I313" s="20"/>
      <c r="J313" s="20"/>
      <c r="K313" s="20"/>
      <c r="L313" s="8"/>
      <c r="M313" s="8"/>
    </row>
    <row r="314" spans="1:13" ht="16.5" thickBot="1">
      <c r="A314" s="57"/>
      <c r="B314" s="57"/>
      <c r="C314" s="57" t="s">
        <v>10</v>
      </c>
      <c r="D314" s="31">
        <f t="shared" ref="D314:J314" si="53">SUM(D311:D312)</f>
        <v>23411.17</v>
      </c>
      <c r="E314" s="31">
        <f t="shared" si="53"/>
        <v>25499.040000000001</v>
      </c>
      <c r="F314" s="31">
        <f t="shared" si="53"/>
        <v>47.93</v>
      </c>
      <c r="G314" s="31">
        <f t="shared" si="53"/>
        <v>0</v>
      </c>
      <c r="H314" s="31">
        <f t="shared" si="53"/>
        <v>0</v>
      </c>
      <c r="I314" s="31">
        <f t="shared" si="53"/>
        <v>0</v>
      </c>
      <c r="J314" s="31">
        <f t="shared" si="53"/>
        <v>0</v>
      </c>
      <c r="K314" s="31">
        <f>SUM(D314:J314)</f>
        <v>48958.14</v>
      </c>
      <c r="L314" s="8"/>
      <c r="M314" s="8"/>
    </row>
    <row r="315" spans="1:13" ht="16.5" thickTop="1">
      <c r="A315" s="57"/>
      <c r="B315" s="57"/>
      <c r="C315" s="57"/>
      <c r="D315" s="57"/>
      <c r="E315" s="20"/>
      <c r="F315" s="20"/>
      <c r="G315" s="20"/>
      <c r="H315" s="20"/>
      <c r="I315" s="20"/>
      <c r="J315" s="20"/>
      <c r="K315" s="20"/>
      <c r="L315" s="8"/>
      <c r="M315" s="8"/>
    </row>
    <row r="316" spans="1:13">
      <c r="A316" s="57"/>
      <c r="B316" s="57"/>
      <c r="C316" s="57"/>
      <c r="D316" s="57"/>
      <c r="E316" s="20"/>
      <c r="F316" s="20"/>
      <c r="G316" s="20"/>
      <c r="H316" s="20"/>
      <c r="I316" s="20"/>
      <c r="J316" s="20"/>
      <c r="K316" s="20"/>
      <c r="L316" s="8"/>
      <c r="M316" s="8"/>
    </row>
    <row r="317" spans="1:13">
      <c r="A317" s="57">
        <v>70</v>
      </c>
      <c r="B317" s="57" t="s">
        <v>65</v>
      </c>
      <c r="C317" s="57" t="s">
        <v>12</v>
      </c>
      <c r="D317" s="25">
        <v>18709.73</v>
      </c>
      <c r="E317" s="25">
        <v>19987.490000000002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f>SUM(D317:J317)</f>
        <v>38697.22</v>
      </c>
      <c r="L317" s="8"/>
      <c r="M317" s="8"/>
    </row>
    <row r="318" spans="1:13" ht="16.5" hidden="1" thickBot="1">
      <c r="A318" s="57"/>
      <c r="B318" s="57"/>
      <c r="C318" s="57" t="s">
        <v>78</v>
      </c>
      <c r="D318" s="57"/>
      <c r="E318" s="29"/>
      <c r="F318" s="29"/>
      <c r="G318" s="29"/>
      <c r="H318" s="29"/>
      <c r="I318" s="29"/>
      <c r="J318" s="29"/>
      <c r="K318" s="29">
        <f>SUM(E318:J318)</f>
        <v>0</v>
      </c>
      <c r="L318" s="8"/>
      <c r="M318" s="8"/>
    </row>
    <row r="319" spans="1:13">
      <c r="A319" s="57"/>
      <c r="B319" s="57"/>
      <c r="C319" s="57"/>
      <c r="D319" s="57"/>
      <c r="E319" s="20"/>
      <c r="F319" s="20"/>
      <c r="G319" s="20"/>
      <c r="H319" s="20"/>
      <c r="I319" s="20"/>
      <c r="J319" s="20"/>
      <c r="K319" s="20"/>
      <c r="L319" s="8"/>
      <c r="M319" s="8"/>
    </row>
    <row r="320" spans="1:13" ht="16.5" thickBot="1">
      <c r="A320" s="57"/>
      <c r="B320" s="57"/>
      <c r="C320" s="57" t="s">
        <v>10</v>
      </c>
      <c r="D320" s="31">
        <f t="shared" ref="D320:J320" si="54">SUM(D317:D319)</f>
        <v>18709.73</v>
      </c>
      <c r="E320" s="31">
        <f t="shared" si="54"/>
        <v>19987.490000000002</v>
      </c>
      <c r="F320" s="31">
        <f t="shared" si="54"/>
        <v>0</v>
      </c>
      <c r="G320" s="31">
        <f t="shared" si="54"/>
        <v>0</v>
      </c>
      <c r="H320" s="31">
        <f t="shared" si="54"/>
        <v>0</v>
      </c>
      <c r="I320" s="31">
        <f t="shared" si="54"/>
        <v>0</v>
      </c>
      <c r="J320" s="31">
        <f t="shared" si="54"/>
        <v>0</v>
      </c>
      <c r="K320" s="31">
        <f>SUM(D320:J320)</f>
        <v>38697.22</v>
      </c>
      <c r="L320" s="8"/>
      <c r="M320" s="8"/>
    </row>
    <row r="321" spans="1:13" ht="16.5" thickTop="1">
      <c r="A321" s="57"/>
      <c r="B321" s="57"/>
      <c r="C321" s="57"/>
      <c r="D321" s="57"/>
      <c r="E321" s="20"/>
      <c r="F321" s="20"/>
      <c r="G321" s="20"/>
      <c r="H321" s="20"/>
      <c r="I321" s="20"/>
      <c r="J321" s="20"/>
      <c r="K321" s="20"/>
      <c r="L321" s="8"/>
      <c r="M321" s="8"/>
    </row>
    <row r="322" spans="1:13">
      <c r="A322" s="57"/>
      <c r="B322" s="57"/>
      <c r="C322" s="57" t="s">
        <v>66</v>
      </c>
      <c r="D322" s="20">
        <f t="shared" ref="D322:J322" si="55">SUM(D10:D320)/2</f>
        <v>1371751.0800000005</v>
      </c>
      <c r="E322" s="20">
        <f t="shared" si="55"/>
        <v>1474643.4000000001</v>
      </c>
      <c r="F322" s="20">
        <f t="shared" si="55"/>
        <v>13759.650000000001</v>
      </c>
      <c r="G322" s="20">
        <f t="shared" si="55"/>
        <v>1.95</v>
      </c>
      <c r="H322" s="20">
        <f t="shared" si="55"/>
        <v>0</v>
      </c>
      <c r="I322" s="20">
        <f t="shared" si="55"/>
        <v>0</v>
      </c>
      <c r="J322" s="20">
        <f t="shared" si="55"/>
        <v>0</v>
      </c>
      <c r="K322" s="20">
        <f>SUM(E322:J322)</f>
        <v>1488405</v>
      </c>
      <c r="L322" s="8"/>
      <c r="M322" s="8"/>
    </row>
    <row r="323" spans="1:13">
      <c r="A323" s="57"/>
      <c r="B323" s="57"/>
      <c r="C323" s="57"/>
      <c r="D323" s="57"/>
      <c r="E323" s="20"/>
      <c r="F323" s="20"/>
      <c r="G323" s="20"/>
      <c r="H323" s="20"/>
      <c r="I323" s="20"/>
      <c r="J323" s="20"/>
      <c r="K323" s="20"/>
      <c r="L323" s="8"/>
      <c r="M323" s="8"/>
    </row>
    <row r="324" spans="1:13">
      <c r="A324" s="57"/>
      <c r="B324" s="57"/>
      <c r="C324" s="57"/>
      <c r="D324" s="57"/>
      <c r="E324" s="20"/>
      <c r="F324" s="20"/>
      <c r="G324" s="20"/>
      <c r="H324" s="20"/>
      <c r="I324" s="20"/>
      <c r="J324" s="20"/>
      <c r="K324" s="20"/>
      <c r="L324" s="8"/>
      <c r="M324" s="8"/>
    </row>
  </sheetData>
  <pageMargins left="0.5" right="0.5" top="2" bottom="0.25" header="0.5" footer="0.5"/>
  <pageSetup scale="70" fitToHeight="50" orientation="portrait" r:id="rId1"/>
  <headerFooter alignWithMargins="0">
    <oddHeader xml:space="preserve">&amp;L&amp;"SWISS,Bold"&amp;16&amp;G
 </oddHeader>
    <oddFooter>&amp;L&amp;"SWISS,Bold"&amp;14
Cass County Finance Office
211 9th Street South
PO Box 2806
Fargo, ND 58108-2806
701-241-5600</oddFooter>
  </headerFooter>
  <rowBreaks count="51" manualBreakCount="51">
    <brk id="7" max="65535" man="1"/>
    <brk id="14" max="16383" man="1"/>
    <brk id="20" max="16383" man="1"/>
    <brk id="26" max="16383" man="1"/>
    <brk id="31" max="16383" man="1"/>
    <brk id="36" max="16383" man="1"/>
    <brk id="42" max="16383" man="1"/>
    <brk id="49" max="65535" man="1"/>
    <brk id="55" max="16383" man="1"/>
    <brk id="64" max="16383" man="1"/>
    <brk id="70" max="16383" man="1"/>
    <brk id="76" max="16383" man="1"/>
    <brk id="84" max="16383" man="1"/>
    <brk id="90" max="16383" man="1"/>
    <brk id="98" max="16383" man="1"/>
    <brk id="104" max="16383" man="1"/>
    <brk id="111" max="16383" man="1"/>
    <brk id="116" max="16383" man="1"/>
    <brk id="124" max="16383" man="1"/>
    <brk id="128" max="9" man="1"/>
    <brk id="133" max="16383" man="1"/>
    <brk id="140" max="16383" man="1"/>
    <brk id="146" max="16383" man="1"/>
    <brk id="154" max="16383" man="1"/>
    <brk id="159" max="9" man="1"/>
    <brk id="165" max="16383" man="1"/>
    <brk id="170" max="16383" man="1"/>
    <brk id="175" max="16383" man="1"/>
    <brk id="180" max="16383" man="1"/>
    <brk id="185" max="16383" man="1"/>
    <brk id="191" max="16383" man="1"/>
    <brk id="198" max="16383" man="1"/>
    <brk id="204" max="16383" man="1"/>
    <brk id="212" max="16383" man="1"/>
    <brk id="218" max="16383" man="1"/>
    <brk id="224" max="16383" man="1"/>
    <brk id="230" max="16383" man="1"/>
    <brk id="238" max="16383" man="1"/>
    <brk id="244" max="16383" man="1"/>
    <brk id="250" max="16383" man="1"/>
    <brk id="259" max="16383" man="1"/>
    <brk id="266" max="16383" man="1"/>
    <brk id="272" max="16383" man="1"/>
    <brk id="278" max="16383" man="1"/>
    <brk id="283" max="16383" man="1"/>
    <brk id="289" max="16383" man="1"/>
    <brk id="297" max="16383" man="1"/>
    <brk id="303" max="16383" man="1"/>
    <brk id="309" max="16383" man="1"/>
    <brk id="315" max="16383" man="1"/>
    <brk id="321" max="16383" man="1"/>
  </rowBreaks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75B41-2CB2-4951-A3F3-4B84706CBA0A}">
  <sheetPr>
    <pageSetUpPr autoPageBreaks="0"/>
  </sheetPr>
  <dimension ref="A1:N324"/>
  <sheetViews>
    <sheetView tabSelected="1" showOutlineSymbols="0" defaultGridColor="0" view="pageBreakPreview" colorId="23" zoomScale="80" zoomScaleNormal="75" zoomScaleSheetLayoutView="80" workbookViewId="0">
      <selection activeCell="P13" sqref="P13"/>
    </sheetView>
  </sheetViews>
  <sheetFormatPr defaultColWidth="9.6640625" defaultRowHeight="15.75"/>
  <cols>
    <col min="1" max="1" width="9.6640625" style="60" customWidth="1"/>
    <col min="2" max="2" width="20.21875" style="60" customWidth="1"/>
    <col min="3" max="3" width="24.44140625" style="60" bestFit="1" customWidth="1"/>
    <col min="4" max="5" width="12.44140625" style="60" bestFit="1" customWidth="1"/>
    <col min="6" max="6" width="12.77734375" style="23" customWidth="1"/>
    <col min="7" max="7" width="12.77734375" style="23" hidden="1" customWidth="1"/>
    <col min="8" max="8" width="12.6640625" style="23" hidden="1" customWidth="1"/>
    <col min="9" max="10" width="11.6640625" style="23" hidden="1" customWidth="1"/>
    <col min="11" max="11" width="9.6640625" style="23" hidden="1" customWidth="1"/>
    <col min="12" max="12" width="14.44140625" style="23" customWidth="1"/>
    <col min="13" max="16384" width="9.6640625" style="10"/>
  </cols>
  <sheetData>
    <row r="1" spans="1:14">
      <c r="A1" s="57"/>
      <c r="B1" s="57"/>
      <c r="C1" s="57"/>
      <c r="D1" s="57"/>
      <c r="E1" s="57"/>
      <c r="F1" s="20"/>
      <c r="G1" s="20"/>
      <c r="H1" s="20"/>
      <c r="I1" s="20"/>
      <c r="J1" s="20"/>
      <c r="K1" s="21"/>
      <c r="L1" s="20"/>
      <c r="M1" s="8"/>
      <c r="N1" s="8"/>
    </row>
    <row r="2" spans="1:14">
      <c r="A2" s="57"/>
      <c r="B2" s="57"/>
      <c r="C2" s="57"/>
      <c r="D2" s="57"/>
      <c r="E2" s="57"/>
      <c r="F2" s="20"/>
      <c r="G2" s="20"/>
      <c r="H2" s="20"/>
      <c r="I2" s="20"/>
      <c r="J2" s="20"/>
      <c r="K2" s="20"/>
      <c r="L2" s="20"/>
      <c r="M2" s="8"/>
      <c r="N2" s="8"/>
    </row>
    <row r="3" spans="1:14">
      <c r="A3" s="57"/>
      <c r="B3" s="57"/>
      <c r="C3" s="57"/>
      <c r="D3" s="57"/>
      <c r="E3" s="57"/>
      <c r="F3" s="20"/>
      <c r="G3" s="20"/>
      <c r="H3" s="20"/>
      <c r="I3" s="20"/>
      <c r="J3" s="20"/>
      <c r="K3" s="20"/>
      <c r="L3" s="20"/>
      <c r="M3" s="8"/>
      <c r="N3" s="8"/>
    </row>
    <row r="4" spans="1:14" s="56" customFormat="1" ht="18">
      <c r="A4" s="58"/>
      <c r="B4" s="54" t="s">
        <v>1</v>
      </c>
      <c r="C4" s="54"/>
      <c r="D4" s="54"/>
      <c r="E4" s="54"/>
      <c r="F4" s="55"/>
      <c r="G4" s="55"/>
      <c r="H4" s="55"/>
      <c r="I4" s="55"/>
      <c r="J4" s="55"/>
      <c r="K4" s="55"/>
      <c r="L4" s="55"/>
      <c r="M4" s="53"/>
      <c r="N4" s="53"/>
    </row>
    <row r="5" spans="1:14" s="56" customFormat="1" ht="18">
      <c r="A5" s="58"/>
      <c r="B5" s="54" t="s">
        <v>131</v>
      </c>
      <c r="C5" s="54"/>
      <c r="D5" s="54"/>
      <c r="E5" s="54"/>
      <c r="F5" s="55"/>
      <c r="G5" s="55"/>
      <c r="H5" s="55"/>
      <c r="I5" s="55"/>
      <c r="J5" s="55"/>
      <c r="K5" s="55"/>
      <c r="L5" s="55"/>
      <c r="M5" s="53"/>
      <c r="N5" s="53"/>
    </row>
    <row r="6" spans="1:14" s="56" customFormat="1" ht="18">
      <c r="A6" s="58"/>
      <c r="B6" s="54"/>
      <c r="C6" s="54"/>
      <c r="D6" s="54"/>
      <c r="E6" s="54"/>
      <c r="F6" s="55"/>
      <c r="G6" s="55"/>
      <c r="H6" s="55"/>
      <c r="I6" s="55"/>
      <c r="J6" s="55"/>
      <c r="K6" s="55"/>
      <c r="L6" s="55"/>
      <c r="M6" s="53"/>
      <c r="N6" s="53"/>
    </row>
    <row r="7" spans="1:14">
      <c r="A7" s="57"/>
      <c r="B7" s="57"/>
      <c r="C7" s="57"/>
      <c r="D7" s="57"/>
      <c r="E7" s="57"/>
      <c r="F7" s="20"/>
      <c r="G7" s="20"/>
      <c r="H7" s="20"/>
      <c r="I7" s="20"/>
      <c r="J7" s="20"/>
      <c r="K7" s="20"/>
      <c r="L7" s="20"/>
      <c r="M7" s="8"/>
      <c r="N7" s="8"/>
    </row>
    <row r="8" spans="1:14">
      <c r="A8" s="57"/>
      <c r="B8" s="64" t="s">
        <v>90</v>
      </c>
      <c r="C8" s="64" t="s">
        <v>4</v>
      </c>
      <c r="D8" s="64">
        <v>2023</v>
      </c>
      <c r="E8" s="64">
        <v>2022</v>
      </c>
      <c r="F8" s="65">
        <v>2021</v>
      </c>
      <c r="G8" s="65">
        <v>2020</v>
      </c>
      <c r="H8" s="65">
        <v>2019</v>
      </c>
      <c r="I8" s="67">
        <v>2018</v>
      </c>
      <c r="J8" s="67">
        <v>2017</v>
      </c>
      <c r="K8" s="67">
        <v>2016</v>
      </c>
      <c r="L8" s="66" t="s">
        <v>10</v>
      </c>
      <c r="M8" s="8"/>
      <c r="N8" s="8"/>
    </row>
    <row r="9" spans="1:14">
      <c r="A9" s="57"/>
      <c r="B9" s="57"/>
      <c r="C9" s="57"/>
      <c r="D9" s="57"/>
      <c r="E9" s="57"/>
      <c r="F9" s="20"/>
      <c r="G9" s="20"/>
      <c r="H9" s="20"/>
      <c r="I9" s="20"/>
      <c r="J9" s="20"/>
      <c r="K9" s="20"/>
      <c r="L9" s="20"/>
      <c r="M9" s="8"/>
      <c r="N9" s="8"/>
    </row>
    <row r="10" spans="1:14">
      <c r="A10" s="57">
        <v>21</v>
      </c>
      <c r="B10" s="57" t="s">
        <v>11</v>
      </c>
      <c r="C10" s="57" t="s">
        <v>12</v>
      </c>
      <c r="D10" s="20">
        <v>24476.68</v>
      </c>
      <c r="E10" s="20">
        <v>188.2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f>SUM(D10:K10)</f>
        <v>24664.880000000001</v>
      </c>
      <c r="M10" s="8"/>
      <c r="N10" s="8"/>
    </row>
    <row r="11" spans="1:14" ht="16.5" thickBot="1">
      <c r="A11" s="57"/>
      <c r="B11" s="57"/>
      <c r="C11" s="57" t="s">
        <v>13</v>
      </c>
      <c r="D11" s="29">
        <v>412.21</v>
      </c>
      <c r="E11" s="29">
        <v>3.14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f>SUM(D11:K11)</f>
        <v>415.34999999999997</v>
      </c>
      <c r="M11" s="8"/>
      <c r="N11" s="8"/>
    </row>
    <row r="12" spans="1:14">
      <c r="A12" s="57"/>
      <c r="B12" s="57"/>
      <c r="C12" s="57"/>
      <c r="D12" s="57"/>
      <c r="E12" s="57"/>
      <c r="F12" s="20"/>
      <c r="G12" s="20"/>
      <c r="H12" s="20"/>
      <c r="I12" s="20"/>
      <c r="J12" s="20"/>
      <c r="K12" s="20"/>
      <c r="L12" s="20"/>
      <c r="M12" s="8"/>
      <c r="N12" s="8"/>
    </row>
    <row r="13" spans="1:14" ht="16.5" thickBot="1">
      <c r="A13" s="57"/>
      <c r="B13" s="57"/>
      <c r="C13" s="57" t="s">
        <v>10</v>
      </c>
      <c r="D13" s="31">
        <f t="shared" ref="D13" si="0">SUM(D10:D11)</f>
        <v>24888.89</v>
      </c>
      <c r="E13" s="31">
        <f t="shared" ref="E13:K13" si="1">SUM(E10:E11)</f>
        <v>191.33999999999997</v>
      </c>
      <c r="F13" s="31">
        <f t="shared" si="1"/>
        <v>0</v>
      </c>
      <c r="G13" s="31">
        <f t="shared" si="1"/>
        <v>0</v>
      </c>
      <c r="H13" s="31">
        <f t="shared" si="1"/>
        <v>0</v>
      </c>
      <c r="I13" s="31">
        <f t="shared" si="1"/>
        <v>0</v>
      </c>
      <c r="J13" s="31">
        <f t="shared" si="1"/>
        <v>0</v>
      </c>
      <c r="K13" s="31">
        <f t="shared" si="1"/>
        <v>0</v>
      </c>
      <c r="L13" s="31">
        <f>SUM(L10:L11)</f>
        <v>25080.23</v>
      </c>
      <c r="M13" s="8"/>
      <c r="N13" s="8"/>
    </row>
    <row r="14" spans="1:14" ht="16.5" thickTop="1">
      <c r="A14" s="57"/>
      <c r="B14" s="57"/>
      <c r="C14" s="57"/>
      <c r="D14" s="57"/>
      <c r="E14" s="57"/>
      <c r="F14" s="20"/>
      <c r="G14" s="20"/>
      <c r="H14" s="20"/>
      <c r="I14" s="20"/>
      <c r="J14" s="20"/>
      <c r="K14" s="20"/>
      <c r="L14" s="20"/>
      <c r="M14" s="8"/>
      <c r="N14" s="8"/>
    </row>
    <row r="15" spans="1:14">
      <c r="A15" s="57"/>
      <c r="B15" s="57"/>
      <c r="C15" s="57"/>
      <c r="D15" s="57"/>
      <c r="E15" s="57"/>
      <c r="F15" s="20"/>
      <c r="G15" s="20"/>
      <c r="H15" s="20"/>
      <c r="I15" s="20"/>
      <c r="J15" s="20"/>
      <c r="K15" s="20"/>
      <c r="L15" s="20"/>
      <c r="M15" s="8"/>
      <c r="N15" s="8"/>
    </row>
    <row r="16" spans="1:14">
      <c r="A16" s="57">
        <v>22</v>
      </c>
      <c r="B16" s="57" t="s">
        <v>15</v>
      </c>
      <c r="C16" s="57" t="s">
        <v>12</v>
      </c>
      <c r="D16" s="20">
        <v>27423.08</v>
      </c>
      <c r="E16" s="20">
        <v>343.93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f>SUM(D16:K16)</f>
        <v>27767.010000000002</v>
      </c>
      <c r="M16" s="8"/>
      <c r="N16" s="8"/>
    </row>
    <row r="17" spans="1:14" ht="16.5" thickBot="1">
      <c r="A17" s="57"/>
      <c r="B17" s="57"/>
      <c r="C17" s="57" t="s">
        <v>13</v>
      </c>
      <c r="D17" s="29">
        <v>1362.64</v>
      </c>
      <c r="E17" s="29">
        <v>9.3699999999999992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f>SUM(D17:K17)</f>
        <v>1372.01</v>
      </c>
      <c r="M17" s="8"/>
      <c r="N17" s="8"/>
    </row>
    <row r="18" spans="1:14">
      <c r="A18" s="57"/>
      <c r="B18" s="57"/>
      <c r="C18" s="57"/>
      <c r="D18" s="57"/>
      <c r="E18" s="57"/>
      <c r="F18" s="20"/>
      <c r="G18" s="20"/>
      <c r="H18" s="20"/>
      <c r="I18" s="20"/>
      <c r="J18" s="20"/>
      <c r="K18" s="20"/>
      <c r="L18" s="20"/>
      <c r="M18" s="8"/>
      <c r="N18" s="8"/>
    </row>
    <row r="19" spans="1:14" ht="16.5" thickBot="1">
      <c r="A19" s="57"/>
      <c r="B19" s="57"/>
      <c r="C19" s="57" t="s">
        <v>10</v>
      </c>
      <c r="D19" s="31">
        <f>SUM(D16:D17)</f>
        <v>28785.72</v>
      </c>
      <c r="E19" s="31">
        <f>SUM(E16:E17)</f>
        <v>353.3</v>
      </c>
      <c r="F19" s="31">
        <f>SUM(F16:F17)</f>
        <v>0</v>
      </c>
      <c r="G19" s="31">
        <f t="shared" ref="G19:K19" si="2">SUM(G16:G17)</f>
        <v>0</v>
      </c>
      <c r="H19" s="31">
        <f t="shared" si="2"/>
        <v>0</v>
      </c>
      <c r="I19" s="31">
        <f t="shared" si="2"/>
        <v>0</v>
      </c>
      <c r="J19" s="31">
        <f t="shared" si="2"/>
        <v>0</v>
      </c>
      <c r="K19" s="31">
        <f t="shared" si="2"/>
        <v>0</v>
      </c>
      <c r="L19" s="31">
        <f>SUM(L16:L17)</f>
        <v>29139.02</v>
      </c>
      <c r="M19" s="8"/>
      <c r="N19" s="8"/>
    </row>
    <row r="20" spans="1:14" ht="16.5" thickTop="1">
      <c r="A20" s="57"/>
      <c r="B20" s="57"/>
      <c r="C20" s="57"/>
      <c r="D20" s="57"/>
      <c r="E20" s="57"/>
      <c r="F20" s="20"/>
      <c r="G20" s="20"/>
      <c r="H20" s="20"/>
      <c r="I20" s="20"/>
      <c r="J20" s="20"/>
      <c r="K20" s="20"/>
      <c r="L20" s="20"/>
      <c r="M20" s="8"/>
      <c r="N20" s="8"/>
    </row>
    <row r="21" spans="1:14">
      <c r="A21" s="57"/>
      <c r="B21" s="57"/>
      <c r="C21" s="57"/>
      <c r="D21" s="57"/>
      <c r="E21" s="57"/>
      <c r="F21" s="20"/>
      <c r="G21" s="20"/>
      <c r="H21" s="20"/>
      <c r="I21" s="20"/>
      <c r="J21" s="20"/>
      <c r="K21" s="20"/>
      <c r="L21" s="20"/>
      <c r="M21" s="8"/>
      <c r="N21" s="8"/>
    </row>
    <row r="22" spans="1:14" ht="16.5" thickBot="1">
      <c r="A22" s="57">
        <v>23</v>
      </c>
      <c r="B22" s="57" t="s">
        <v>16</v>
      </c>
      <c r="C22" s="57" t="s">
        <v>12</v>
      </c>
      <c r="D22" s="29">
        <v>20767.580000000002</v>
      </c>
      <c r="E22" s="29">
        <v>883.93</v>
      </c>
      <c r="F22" s="29">
        <v>0</v>
      </c>
      <c r="G22" s="50">
        <v>0</v>
      </c>
      <c r="H22" s="29">
        <v>0</v>
      </c>
      <c r="I22" s="29">
        <v>0</v>
      </c>
      <c r="J22" s="29">
        <v>0</v>
      </c>
      <c r="K22" s="29">
        <v>0</v>
      </c>
      <c r="L22" s="29">
        <f>SUM(D22:K22)</f>
        <v>21651.510000000002</v>
      </c>
      <c r="M22" s="8"/>
      <c r="N22" s="8"/>
    </row>
    <row r="23" spans="1:14" ht="16.5" hidden="1" thickBot="1">
      <c r="A23" s="57"/>
      <c r="B23" s="57"/>
      <c r="C23" s="57" t="s">
        <v>13</v>
      </c>
      <c r="D23" s="57"/>
      <c r="E23" s="57"/>
      <c r="F23" s="29"/>
      <c r="G23" s="29"/>
      <c r="H23" s="29"/>
      <c r="I23" s="29"/>
      <c r="J23" s="29"/>
      <c r="K23" s="29"/>
      <c r="L23" s="29">
        <f>SUM(F23:K23)</f>
        <v>0</v>
      </c>
      <c r="M23" s="8"/>
      <c r="N23" s="8"/>
    </row>
    <row r="24" spans="1:14">
      <c r="A24" s="57"/>
      <c r="B24" s="57"/>
      <c r="C24" s="57"/>
      <c r="D24" s="57"/>
      <c r="E24" s="57"/>
      <c r="F24" s="20"/>
      <c r="G24" s="20"/>
      <c r="H24" s="20"/>
      <c r="I24" s="20"/>
      <c r="J24" s="20"/>
      <c r="K24" s="20"/>
      <c r="L24" s="20"/>
      <c r="M24" s="8"/>
      <c r="N24" s="8"/>
    </row>
    <row r="25" spans="1:14" ht="16.5" thickBot="1">
      <c r="A25" s="57"/>
      <c r="B25" s="57"/>
      <c r="C25" s="57" t="s">
        <v>10</v>
      </c>
      <c r="D25" s="31">
        <f t="shared" ref="D25" si="3">SUM(D22:D23)</f>
        <v>20767.580000000002</v>
      </c>
      <c r="E25" s="31">
        <f t="shared" ref="E25:K25" si="4">SUM(E22:E23)</f>
        <v>883.93</v>
      </c>
      <c r="F25" s="31">
        <f t="shared" si="4"/>
        <v>0</v>
      </c>
      <c r="G25" s="31">
        <f t="shared" si="4"/>
        <v>0</v>
      </c>
      <c r="H25" s="31">
        <f t="shared" si="4"/>
        <v>0</v>
      </c>
      <c r="I25" s="31">
        <f t="shared" si="4"/>
        <v>0</v>
      </c>
      <c r="J25" s="31">
        <f t="shared" si="4"/>
        <v>0</v>
      </c>
      <c r="K25" s="31">
        <f t="shared" si="4"/>
        <v>0</v>
      </c>
      <c r="L25" s="31">
        <f>SUM(L22)</f>
        <v>21651.510000000002</v>
      </c>
      <c r="M25" s="8"/>
      <c r="N25" s="8"/>
    </row>
    <row r="26" spans="1:14" ht="16.5" thickTop="1">
      <c r="A26" s="57"/>
      <c r="B26" s="57"/>
      <c r="C26" s="57"/>
      <c r="D26" s="57"/>
      <c r="E26" s="57"/>
      <c r="F26" s="20"/>
      <c r="G26" s="20"/>
      <c r="H26" s="20"/>
      <c r="I26" s="20"/>
      <c r="J26" s="20"/>
      <c r="K26" s="20"/>
      <c r="L26" s="20"/>
      <c r="M26" s="8"/>
      <c r="N26" s="8"/>
    </row>
    <row r="27" spans="1:14">
      <c r="A27" s="57"/>
      <c r="B27" s="57"/>
      <c r="C27" s="57"/>
      <c r="D27" s="57"/>
      <c r="E27" s="57"/>
      <c r="F27" s="20"/>
      <c r="G27" s="20"/>
      <c r="H27" s="20"/>
      <c r="I27" s="20"/>
      <c r="J27" s="20"/>
      <c r="K27" s="20"/>
      <c r="L27" s="20"/>
      <c r="M27" s="8"/>
      <c r="N27" s="8"/>
    </row>
    <row r="28" spans="1:14" ht="16.5" thickBot="1">
      <c r="A28" s="57">
        <v>24</v>
      </c>
      <c r="B28" s="57" t="s">
        <v>17</v>
      </c>
      <c r="C28" s="57" t="s">
        <v>12</v>
      </c>
      <c r="D28" s="29">
        <v>14937.26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f>SUM(D28:K28)</f>
        <v>14937.26</v>
      </c>
      <c r="M28" s="8"/>
      <c r="N28" s="8"/>
    </row>
    <row r="29" spans="1:14">
      <c r="A29" s="57"/>
      <c r="B29" s="57"/>
      <c r="C29" s="57"/>
      <c r="D29" s="57"/>
      <c r="E29" s="57"/>
      <c r="F29" s="20"/>
      <c r="G29" s="20"/>
      <c r="H29" s="20"/>
      <c r="I29" s="20"/>
      <c r="J29" s="20"/>
      <c r="K29" s="20"/>
      <c r="L29" s="20"/>
      <c r="M29" s="8"/>
      <c r="N29" s="8"/>
    </row>
    <row r="30" spans="1:14" ht="16.5" thickBot="1">
      <c r="A30" s="57"/>
      <c r="B30" s="57"/>
      <c r="C30" s="57" t="s">
        <v>10</v>
      </c>
      <c r="D30" s="31">
        <f t="shared" ref="D30:E30" si="5">SUM(D27:D28)</f>
        <v>14937.26</v>
      </c>
      <c r="E30" s="31">
        <f t="shared" si="5"/>
        <v>0</v>
      </c>
      <c r="F30" s="31">
        <f t="shared" ref="F30:K30" si="6">SUM(F28:F29)</f>
        <v>0</v>
      </c>
      <c r="G30" s="31">
        <f t="shared" si="6"/>
        <v>0</v>
      </c>
      <c r="H30" s="31">
        <f t="shared" si="6"/>
        <v>0</v>
      </c>
      <c r="I30" s="31">
        <f t="shared" si="6"/>
        <v>0</v>
      </c>
      <c r="J30" s="31">
        <f t="shared" si="6"/>
        <v>0</v>
      </c>
      <c r="K30" s="31">
        <f t="shared" si="6"/>
        <v>0</v>
      </c>
      <c r="L30" s="31">
        <f>SUM(L28)</f>
        <v>14937.26</v>
      </c>
      <c r="M30" s="8"/>
      <c r="N30" s="8"/>
    </row>
    <row r="31" spans="1:14" ht="16.5" hidden="1" thickTop="1">
      <c r="A31" s="57"/>
      <c r="B31" s="57"/>
      <c r="C31" s="57"/>
      <c r="D31" s="57"/>
      <c r="E31" s="57"/>
      <c r="F31" s="20"/>
      <c r="G31" s="20"/>
      <c r="H31" s="20"/>
      <c r="I31" s="20"/>
      <c r="J31" s="20"/>
      <c r="K31" s="20"/>
      <c r="L31" s="20"/>
      <c r="M31" s="8"/>
      <c r="N31" s="8"/>
    </row>
    <row r="32" spans="1:14" hidden="1">
      <c r="A32" s="57"/>
      <c r="B32" s="57"/>
      <c r="C32" s="57"/>
      <c r="D32" s="57"/>
      <c r="E32" s="57"/>
      <c r="F32" s="20"/>
      <c r="G32" s="20"/>
      <c r="H32" s="20"/>
      <c r="I32" s="20"/>
      <c r="J32" s="20"/>
      <c r="K32" s="20"/>
      <c r="L32" s="20"/>
      <c r="M32" s="8"/>
      <c r="N32" s="8"/>
    </row>
    <row r="33" spans="1:14" ht="16.5" hidden="1" thickBot="1">
      <c r="A33" s="57">
        <v>25</v>
      </c>
      <c r="B33" s="57" t="s">
        <v>18</v>
      </c>
      <c r="C33" s="57" t="s">
        <v>12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f>SUM(D33:K33)</f>
        <v>0</v>
      </c>
      <c r="M33" s="8"/>
      <c r="N33" s="8"/>
    </row>
    <row r="34" spans="1:14" hidden="1">
      <c r="A34" s="57"/>
      <c r="B34" s="57"/>
      <c r="C34" s="57"/>
      <c r="D34" s="57"/>
      <c r="E34" s="57"/>
      <c r="F34" s="20"/>
      <c r="G34" s="20"/>
      <c r="H34" s="20"/>
      <c r="I34" s="20"/>
      <c r="J34" s="20"/>
      <c r="K34" s="20"/>
      <c r="L34" s="20"/>
      <c r="M34" s="8"/>
      <c r="N34" s="8"/>
    </row>
    <row r="35" spans="1:14" ht="16.5" hidden="1" thickBot="1">
      <c r="A35" s="57"/>
      <c r="B35" s="57"/>
      <c r="C35" s="57" t="s">
        <v>10</v>
      </c>
      <c r="D35" s="31">
        <f t="shared" ref="D35:E35" si="7">SUM(D32:D33)</f>
        <v>0</v>
      </c>
      <c r="E35" s="31">
        <f t="shared" si="7"/>
        <v>0</v>
      </c>
      <c r="F35" s="31">
        <f t="shared" ref="F35:K35" si="8">SUM(F33:F34)</f>
        <v>0</v>
      </c>
      <c r="G35" s="31">
        <f t="shared" si="8"/>
        <v>0</v>
      </c>
      <c r="H35" s="31">
        <f t="shared" si="8"/>
        <v>0</v>
      </c>
      <c r="I35" s="31">
        <f t="shared" si="8"/>
        <v>0</v>
      </c>
      <c r="J35" s="31">
        <f t="shared" si="8"/>
        <v>0</v>
      </c>
      <c r="K35" s="31">
        <f t="shared" si="8"/>
        <v>0</v>
      </c>
      <c r="L35" s="31">
        <f>SUM(D35:K35)</f>
        <v>0</v>
      </c>
      <c r="M35" s="8"/>
      <c r="N35" s="8"/>
    </row>
    <row r="36" spans="1:14" ht="16.5" hidden="1" thickTop="1">
      <c r="A36" s="57"/>
      <c r="B36" s="57"/>
      <c r="C36" s="57"/>
      <c r="D36" s="57"/>
      <c r="E36" s="57"/>
      <c r="F36" s="20"/>
      <c r="G36" s="20"/>
      <c r="H36" s="20"/>
      <c r="I36" s="20"/>
      <c r="J36" s="20"/>
      <c r="K36" s="20"/>
      <c r="L36" s="20"/>
      <c r="M36" s="8"/>
      <c r="N36" s="8"/>
    </row>
    <row r="37" spans="1:14" ht="16.5" thickTop="1">
      <c r="A37" s="57"/>
      <c r="B37" s="57"/>
      <c r="C37" s="57"/>
      <c r="D37" s="57"/>
      <c r="E37" s="57"/>
      <c r="F37" s="20"/>
      <c r="G37" s="20"/>
      <c r="H37" s="20"/>
      <c r="I37" s="20"/>
      <c r="J37" s="20"/>
      <c r="K37" s="20"/>
      <c r="L37" s="20"/>
      <c r="M37" s="8"/>
      <c r="N37" s="8"/>
    </row>
    <row r="38" spans="1:14" ht="16.5" thickBot="1">
      <c r="A38" s="57">
        <v>26</v>
      </c>
      <c r="B38" s="57" t="s">
        <v>19</v>
      </c>
      <c r="C38" s="57" t="s">
        <v>12</v>
      </c>
      <c r="D38" s="29">
        <v>19831.09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f>SUM(D38:K39)</f>
        <v>19831.09</v>
      </c>
      <c r="M38" s="8"/>
      <c r="N38" s="8"/>
    </row>
    <row r="39" spans="1:14" ht="16.5" hidden="1" thickBot="1">
      <c r="A39" s="57"/>
      <c r="B39" s="57"/>
      <c r="C39" s="57" t="s">
        <v>13</v>
      </c>
      <c r="D39" s="57"/>
      <c r="E39" s="57"/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f>SUM(F39:K39)</f>
        <v>0</v>
      </c>
      <c r="M39" s="8"/>
      <c r="N39" s="8"/>
    </row>
    <row r="40" spans="1:14">
      <c r="A40" s="57"/>
      <c r="B40" s="57"/>
      <c r="C40" s="57"/>
      <c r="D40" s="57"/>
      <c r="E40" s="57"/>
      <c r="F40" s="20"/>
      <c r="G40" s="20"/>
      <c r="H40" s="20"/>
      <c r="I40" s="20"/>
      <c r="J40" s="20"/>
      <c r="K40" s="20"/>
      <c r="L40" s="20"/>
      <c r="M40" s="8"/>
      <c r="N40" s="8"/>
    </row>
    <row r="41" spans="1:14" ht="16.5" thickBot="1">
      <c r="A41" s="57"/>
      <c r="B41" s="57"/>
      <c r="C41" s="57" t="s">
        <v>10</v>
      </c>
      <c r="D41" s="31">
        <f t="shared" ref="D41" si="9">SUM(D38:D39)</f>
        <v>19831.09</v>
      </c>
      <c r="E41" s="31">
        <f t="shared" ref="E41:K41" si="10">SUM(E38:E39)</f>
        <v>0</v>
      </c>
      <c r="F41" s="31">
        <f t="shared" si="10"/>
        <v>0</v>
      </c>
      <c r="G41" s="31">
        <f t="shared" si="10"/>
        <v>0</v>
      </c>
      <c r="H41" s="31">
        <f t="shared" si="10"/>
        <v>0</v>
      </c>
      <c r="I41" s="31">
        <f t="shared" si="10"/>
        <v>0</v>
      </c>
      <c r="J41" s="31">
        <f t="shared" si="10"/>
        <v>0</v>
      </c>
      <c r="K41" s="31">
        <f t="shared" si="10"/>
        <v>0</v>
      </c>
      <c r="L41" s="31">
        <f>SUM(L38)</f>
        <v>19831.09</v>
      </c>
      <c r="M41" s="8"/>
      <c r="N41" s="8"/>
    </row>
    <row r="42" spans="1:14" ht="16.5" thickTop="1">
      <c r="A42" s="57"/>
      <c r="B42" s="57"/>
      <c r="C42" s="57"/>
      <c r="D42" s="57"/>
      <c r="E42" s="57"/>
      <c r="F42" s="20"/>
      <c r="G42" s="20"/>
      <c r="H42" s="20"/>
      <c r="I42" s="20"/>
      <c r="J42" s="20"/>
      <c r="K42" s="20"/>
      <c r="L42" s="20"/>
      <c r="M42" s="8"/>
      <c r="N42" s="8"/>
    </row>
    <row r="43" spans="1:14">
      <c r="A43" s="57"/>
      <c r="B43" s="57"/>
      <c r="C43" s="57"/>
      <c r="D43" s="57"/>
      <c r="E43" s="57"/>
      <c r="F43" s="20"/>
      <c r="G43" s="20"/>
      <c r="H43" s="20"/>
      <c r="I43" s="20"/>
      <c r="J43" s="20"/>
      <c r="K43" s="20"/>
      <c r="L43" s="20"/>
      <c r="M43" s="8"/>
      <c r="N43" s="8"/>
    </row>
    <row r="44" spans="1:14" ht="16.5" thickBot="1">
      <c r="A44" s="57">
        <v>27</v>
      </c>
      <c r="B44" s="57" t="s">
        <v>20</v>
      </c>
      <c r="C44" s="57" t="s">
        <v>12</v>
      </c>
      <c r="D44" s="29">
        <v>24148.32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f>SUM(D44:K44)</f>
        <v>24148.32</v>
      </c>
      <c r="M44" s="8"/>
      <c r="N44" s="8"/>
    </row>
    <row r="45" spans="1:14">
      <c r="A45" s="57"/>
      <c r="B45" s="57"/>
      <c r="C45" s="57"/>
      <c r="D45" s="57"/>
      <c r="E45" s="57"/>
      <c r="F45" s="20"/>
      <c r="G45" s="20"/>
      <c r="H45" s="20"/>
      <c r="I45" s="20"/>
      <c r="J45" s="20"/>
      <c r="K45" s="20"/>
      <c r="L45" s="20"/>
      <c r="M45" s="8"/>
      <c r="N45" s="8"/>
    </row>
    <row r="46" spans="1:14" ht="16.5" thickBot="1">
      <c r="A46" s="57"/>
      <c r="B46" s="57"/>
      <c r="C46" s="57" t="s">
        <v>10</v>
      </c>
      <c r="D46" s="31">
        <f t="shared" ref="D46:E46" si="11">SUM(D43:D44)</f>
        <v>24148.32</v>
      </c>
      <c r="E46" s="31">
        <f t="shared" si="11"/>
        <v>0</v>
      </c>
      <c r="F46" s="31">
        <f t="shared" ref="F46:K46" si="12">SUM(F44:F45)</f>
        <v>0</v>
      </c>
      <c r="G46" s="31">
        <f t="shared" si="12"/>
        <v>0</v>
      </c>
      <c r="H46" s="31">
        <f t="shared" si="12"/>
        <v>0</v>
      </c>
      <c r="I46" s="31">
        <f t="shared" si="12"/>
        <v>0</v>
      </c>
      <c r="J46" s="31">
        <f t="shared" si="12"/>
        <v>0</v>
      </c>
      <c r="K46" s="31">
        <f t="shared" si="12"/>
        <v>0</v>
      </c>
      <c r="L46" s="31">
        <f>SUM(L44)</f>
        <v>24148.32</v>
      </c>
      <c r="M46" s="8"/>
      <c r="N46" s="8"/>
    </row>
    <row r="47" spans="1:14" ht="16.5" thickTop="1">
      <c r="A47" s="57"/>
      <c r="B47" s="57"/>
      <c r="C47" s="57"/>
      <c r="D47" s="57"/>
      <c r="E47" s="57"/>
      <c r="F47" s="20"/>
      <c r="G47" s="20"/>
      <c r="H47" s="20"/>
      <c r="I47" s="20"/>
      <c r="J47" s="20"/>
      <c r="K47" s="20"/>
      <c r="L47" s="20"/>
      <c r="M47" s="8"/>
      <c r="N47" s="8"/>
    </row>
    <row r="48" spans="1:14">
      <c r="A48" s="57"/>
      <c r="B48" s="57"/>
      <c r="C48" s="57"/>
      <c r="D48" s="57"/>
      <c r="E48" s="57"/>
      <c r="F48" s="20"/>
      <c r="G48" s="20"/>
      <c r="H48" s="20"/>
      <c r="I48" s="20"/>
      <c r="J48" s="20"/>
      <c r="K48" s="20"/>
      <c r="L48" s="20"/>
      <c r="M48" s="8"/>
      <c r="N48" s="8"/>
    </row>
    <row r="49" spans="1:14">
      <c r="A49" s="57"/>
      <c r="B49" s="57"/>
      <c r="C49" s="57"/>
      <c r="D49" s="57"/>
      <c r="E49" s="57"/>
      <c r="F49" s="20"/>
      <c r="G49" s="20"/>
      <c r="H49" s="20"/>
      <c r="I49" s="20"/>
      <c r="J49" s="20"/>
      <c r="K49" s="20"/>
      <c r="L49" s="20"/>
      <c r="M49" s="8"/>
      <c r="N49" s="8"/>
    </row>
    <row r="50" spans="1:14">
      <c r="A50" s="57"/>
      <c r="B50" s="57"/>
      <c r="C50" s="57"/>
      <c r="D50" s="57"/>
      <c r="E50" s="57"/>
      <c r="F50" s="20"/>
      <c r="G50" s="20"/>
      <c r="H50" s="20"/>
      <c r="I50" s="20"/>
      <c r="J50" s="20"/>
      <c r="K50" s="20"/>
      <c r="L50" s="20"/>
      <c r="M50" s="8"/>
      <c r="N50" s="8"/>
    </row>
    <row r="51" spans="1:14" ht="16.5" thickBot="1">
      <c r="A51" s="57">
        <v>28</v>
      </c>
      <c r="B51" s="57" t="s">
        <v>21</v>
      </c>
      <c r="C51" s="57" t="s">
        <v>12</v>
      </c>
      <c r="D51" s="29">
        <v>26304.06</v>
      </c>
      <c r="E51" s="29">
        <v>1047.49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f>SUM(D51:K52)</f>
        <v>27351.550000000003</v>
      </c>
      <c r="M51" s="8"/>
      <c r="N51" s="8"/>
    </row>
    <row r="52" spans="1:14" ht="16.5" hidden="1" thickBot="1">
      <c r="A52" s="57"/>
      <c r="B52" s="57"/>
      <c r="C52" s="57" t="s">
        <v>13</v>
      </c>
      <c r="D52" s="57"/>
      <c r="E52" s="57"/>
      <c r="F52" s="29"/>
      <c r="G52" s="29"/>
      <c r="H52" s="29"/>
      <c r="I52" s="29"/>
      <c r="J52" s="29"/>
      <c r="K52" s="29"/>
      <c r="L52" s="29">
        <f>SUM(F52:K52)</f>
        <v>0</v>
      </c>
      <c r="M52" s="8"/>
      <c r="N52" s="8"/>
    </row>
    <row r="53" spans="1:14">
      <c r="A53" s="57"/>
      <c r="B53" s="57"/>
      <c r="C53" s="57"/>
      <c r="D53" s="57"/>
      <c r="E53" s="57"/>
      <c r="F53" s="20"/>
      <c r="G53" s="20"/>
      <c r="H53" s="20"/>
      <c r="I53" s="20"/>
      <c r="J53" s="20"/>
      <c r="K53" s="20"/>
      <c r="L53" s="20"/>
      <c r="M53" s="8"/>
      <c r="N53" s="8"/>
    </row>
    <row r="54" spans="1:14" ht="16.5" thickBot="1">
      <c r="A54" s="57"/>
      <c r="B54" s="57"/>
      <c r="C54" s="57" t="s">
        <v>10</v>
      </c>
      <c r="D54" s="31">
        <f>SUM(D51:D52)</f>
        <v>26304.06</v>
      </c>
      <c r="E54" s="31">
        <f>SUM(E51:E52)</f>
        <v>1047.49</v>
      </c>
      <c r="F54" s="31">
        <f t="shared" ref="F54:K54" si="13">SUM(F51:F52)</f>
        <v>0</v>
      </c>
      <c r="G54" s="31">
        <f t="shared" si="13"/>
        <v>0</v>
      </c>
      <c r="H54" s="31">
        <f t="shared" si="13"/>
        <v>0</v>
      </c>
      <c r="I54" s="31">
        <f t="shared" si="13"/>
        <v>0</v>
      </c>
      <c r="J54" s="31">
        <f t="shared" si="13"/>
        <v>0</v>
      </c>
      <c r="K54" s="31">
        <f t="shared" si="13"/>
        <v>0</v>
      </c>
      <c r="L54" s="31">
        <f>SUM(L51)</f>
        <v>27351.550000000003</v>
      </c>
      <c r="M54" s="8"/>
      <c r="N54" s="8"/>
    </row>
    <row r="55" spans="1:14" ht="16.5" thickTop="1">
      <c r="A55" s="57"/>
      <c r="B55" s="57"/>
      <c r="C55" s="57"/>
      <c r="D55" s="57"/>
      <c r="E55" s="57"/>
      <c r="F55" s="20"/>
      <c r="G55" s="20"/>
      <c r="H55" s="20"/>
      <c r="I55" s="20"/>
      <c r="J55" s="20"/>
      <c r="K55" s="20"/>
      <c r="L55" s="20"/>
      <c r="M55" s="8"/>
      <c r="N55" s="8"/>
    </row>
    <row r="56" spans="1:14">
      <c r="A56" s="57"/>
      <c r="B56" s="57"/>
      <c r="C56" s="57"/>
      <c r="D56" s="57"/>
      <c r="E56" s="57"/>
      <c r="F56" s="20"/>
      <c r="G56" s="20"/>
      <c r="H56" s="20"/>
      <c r="I56" s="20"/>
      <c r="J56" s="20"/>
      <c r="K56" s="20"/>
      <c r="L56" s="20"/>
      <c r="M56" s="8"/>
      <c r="N56" s="8"/>
    </row>
    <row r="57" spans="1:14">
      <c r="A57" s="57">
        <v>29</v>
      </c>
      <c r="B57" s="57" t="s">
        <v>22</v>
      </c>
      <c r="C57" s="57" t="s">
        <v>12</v>
      </c>
      <c r="D57" s="20">
        <v>84578.4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f>SUM(D57:K58)</f>
        <v>84578.4</v>
      </c>
      <c r="M57" s="8"/>
      <c r="N57" s="8"/>
    </row>
    <row r="58" spans="1:14" hidden="1">
      <c r="A58" s="57"/>
      <c r="B58" s="57"/>
      <c r="C58" s="57" t="s">
        <v>35</v>
      </c>
      <c r="D58" s="20"/>
      <c r="E58" s="20"/>
      <c r="F58" s="20"/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f>SUM(F58:K58)</f>
        <v>0</v>
      </c>
      <c r="M58" s="8"/>
      <c r="N58" s="8"/>
    </row>
    <row r="59" spans="1:14">
      <c r="A59" s="57"/>
      <c r="B59" s="57"/>
      <c r="C59" s="57" t="s">
        <v>13</v>
      </c>
      <c r="D59" s="20">
        <v>2450.75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f>SUM(D59:K59)</f>
        <v>2450.75</v>
      </c>
      <c r="M59" s="8"/>
      <c r="N59" s="8"/>
    </row>
    <row r="60" spans="1:14" hidden="1">
      <c r="A60" s="57"/>
      <c r="B60" s="57"/>
      <c r="C60" s="57" t="s">
        <v>78</v>
      </c>
      <c r="D60" s="57"/>
      <c r="E60" s="57"/>
      <c r="F60" s="20"/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f>SUM(F60:K60)</f>
        <v>0</v>
      </c>
      <c r="M60" s="8"/>
      <c r="N60" s="8"/>
    </row>
    <row r="61" spans="1:14" ht="16.5" hidden="1" thickBot="1">
      <c r="A61" s="57"/>
      <c r="B61" s="57"/>
      <c r="C61" s="57" t="s">
        <v>114</v>
      </c>
      <c r="D61" s="57"/>
      <c r="E61" s="57"/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f>SUM(F61:K61)</f>
        <v>0</v>
      </c>
      <c r="M61" s="8"/>
      <c r="N61" s="8"/>
    </row>
    <row r="62" spans="1:14">
      <c r="A62" s="57"/>
      <c r="B62" s="57"/>
      <c r="C62" s="57"/>
      <c r="D62" s="57"/>
      <c r="E62" s="57"/>
      <c r="F62" s="20"/>
      <c r="G62" s="20"/>
      <c r="H62" s="20"/>
      <c r="I62" s="20"/>
      <c r="J62" s="20"/>
      <c r="K62" s="20"/>
      <c r="L62" s="20"/>
      <c r="M62" s="8"/>
      <c r="N62" s="8"/>
    </row>
    <row r="63" spans="1:14" ht="16.5" thickBot="1">
      <c r="A63" s="57"/>
      <c r="B63" s="57"/>
      <c r="C63" s="57" t="s">
        <v>10</v>
      </c>
      <c r="D63" s="31">
        <f>SUM(D57:D59)</f>
        <v>87029.15</v>
      </c>
      <c r="E63" s="31">
        <f>SUM(E57:E59)</f>
        <v>0</v>
      </c>
      <c r="F63" s="31">
        <f t="shared" ref="F63:K63" si="14">SUM(F57:F61)</f>
        <v>0</v>
      </c>
      <c r="G63" s="31">
        <f t="shared" si="14"/>
        <v>0</v>
      </c>
      <c r="H63" s="31">
        <f t="shared" si="14"/>
        <v>0</v>
      </c>
      <c r="I63" s="31">
        <f t="shared" si="14"/>
        <v>0</v>
      </c>
      <c r="J63" s="31">
        <f t="shared" si="14"/>
        <v>0</v>
      </c>
      <c r="K63" s="31">
        <f t="shared" si="14"/>
        <v>0</v>
      </c>
      <c r="L63" s="31">
        <f>SUM(L57:L59)</f>
        <v>87029.15</v>
      </c>
      <c r="M63" s="8"/>
      <c r="N63" s="8"/>
    </row>
    <row r="64" spans="1:14" ht="16.5" thickTop="1">
      <c r="A64" s="57"/>
      <c r="B64" s="57"/>
      <c r="C64" s="57"/>
      <c r="D64" s="57"/>
      <c r="E64" s="57"/>
      <c r="F64" s="20"/>
      <c r="G64" s="20"/>
      <c r="H64" s="20"/>
      <c r="I64" s="20"/>
      <c r="J64" s="20"/>
      <c r="K64" s="20"/>
      <c r="L64" s="20"/>
      <c r="M64" s="8"/>
      <c r="N64" s="8"/>
    </row>
    <row r="65" spans="1:14">
      <c r="A65" s="57"/>
      <c r="B65" s="57"/>
      <c r="C65" s="57"/>
      <c r="D65" s="57"/>
      <c r="E65" s="57"/>
      <c r="F65" s="20"/>
      <c r="G65" s="20"/>
      <c r="H65" s="20"/>
      <c r="I65" s="20"/>
      <c r="J65" s="20"/>
      <c r="K65" s="20"/>
      <c r="L65" s="20"/>
      <c r="M65" s="8"/>
      <c r="N65" s="8"/>
    </row>
    <row r="66" spans="1:14">
      <c r="A66" s="57">
        <v>30</v>
      </c>
      <c r="B66" s="57" t="s">
        <v>23</v>
      </c>
      <c r="C66" s="57" t="s">
        <v>12</v>
      </c>
      <c r="D66" s="20">
        <v>13942.64</v>
      </c>
      <c r="E66" s="20">
        <v>125.74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f>SUM(D66:K66)</f>
        <v>14068.38</v>
      </c>
      <c r="M66" s="8"/>
      <c r="N66" s="8"/>
    </row>
    <row r="67" spans="1:14" ht="16.5" thickBot="1">
      <c r="A67" s="57"/>
      <c r="B67" s="57"/>
      <c r="C67" s="57" t="s">
        <v>116</v>
      </c>
      <c r="D67" s="29">
        <v>16475.560000000001</v>
      </c>
      <c r="E67" s="29">
        <v>163.87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f>SUM(D67:K67)</f>
        <v>16639.43</v>
      </c>
      <c r="M67" s="8"/>
      <c r="N67" s="8"/>
    </row>
    <row r="68" spans="1:14">
      <c r="A68" s="57"/>
      <c r="B68" s="57"/>
      <c r="C68" s="57"/>
      <c r="D68" s="57"/>
      <c r="E68" s="57"/>
      <c r="F68" s="20"/>
      <c r="G68" s="20"/>
      <c r="H68" s="20"/>
      <c r="I68" s="20"/>
      <c r="J68" s="20"/>
      <c r="K68" s="20"/>
      <c r="L68" s="20"/>
      <c r="M68" s="8"/>
      <c r="N68" s="8"/>
    </row>
    <row r="69" spans="1:14" ht="16.5" thickBot="1">
      <c r="A69" s="57"/>
      <c r="B69" s="57"/>
      <c r="C69" s="61" t="s">
        <v>10</v>
      </c>
      <c r="D69" s="31">
        <f>SUM(D66:D67)</f>
        <v>30418.2</v>
      </c>
      <c r="E69" s="31">
        <f>SUM(E66:E67)</f>
        <v>289.61</v>
      </c>
      <c r="F69" s="31">
        <f t="shared" ref="F69:K69" si="15">SUM(F66:F67)</f>
        <v>0</v>
      </c>
      <c r="G69" s="31">
        <f t="shared" si="15"/>
        <v>0</v>
      </c>
      <c r="H69" s="31">
        <f t="shared" si="15"/>
        <v>0</v>
      </c>
      <c r="I69" s="31">
        <f t="shared" si="15"/>
        <v>0</v>
      </c>
      <c r="J69" s="31">
        <f t="shared" si="15"/>
        <v>0</v>
      </c>
      <c r="K69" s="31">
        <f t="shared" si="15"/>
        <v>0</v>
      </c>
      <c r="L69" s="31">
        <f>SUM(L66:L67)</f>
        <v>30707.809999999998</v>
      </c>
      <c r="M69" s="8"/>
      <c r="N69" s="8"/>
    </row>
    <row r="70" spans="1:14" ht="16.5" thickTop="1">
      <c r="A70" s="57"/>
      <c r="B70" s="57"/>
      <c r="C70" s="57"/>
      <c r="D70" s="57"/>
      <c r="E70" s="57"/>
      <c r="F70" s="20"/>
      <c r="G70" s="20"/>
      <c r="H70" s="20"/>
      <c r="I70" s="20"/>
      <c r="J70" s="20"/>
      <c r="K70" s="20"/>
      <c r="L70" s="20"/>
      <c r="M70" s="8"/>
      <c r="N70" s="8"/>
    </row>
    <row r="71" spans="1:14">
      <c r="A71" s="57"/>
      <c r="B71" s="57"/>
      <c r="C71" s="57"/>
      <c r="D71" s="57"/>
      <c r="E71" s="57"/>
      <c r="F71" s="20"/>
      <c r="G71" s="20"/>
      <c r="H71" s="20"/>
      <c r="I71" s="20"/>
      <c r="J71" s="20"/>
      <c r="K71" s="20"/>
      <c r="L71" s="20"/>
      <c r="M71" s="8"/>
      <c r="N71" s="8"/>
    </row>
    <row r="72" spans="1:14">
      <c r="A72" s="57">
        <v>31</v>
      </c>
      <c r="B72" s="57" t="s">
        <v>24</v>
      </c>
      <c r="C72" s="57" t="s">
        <v>12</v>
      </c>
      <c r="D72" s="20">
        <v>14897.55</v>
      </c>
      <c r="E72" s="20">
        <v>569.92999999999995</v>
      </c>
      <c r="F72" s="20">
        <v>319.13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f>SUM(D72:K72)</f>
        <v>15786.609999999999</v>
      </c>
      <c r="M72" s="8"/>
      <c r="N72" s="8"/>
    </row>
    <row r="73" spans="1:14" ht="16.5" thickBot="1">
      <c r="A73" s="57"/>
      <c r="B73" s="57"/>
      <c r="C73" s="57" t="s">
        <v>13</v>
      </c>
      <c r="D73" s="29">
        <v>1688.38</v>
      </c>
      <c r="E73" s="29">
        <v>68.89</v>
      </c>
      <c r="F73" s="29">
        <v>36.72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f>SUM(D73:K73)</f>
        <v>1793.9900000000002</v>
      </c>
      <c r="M73" s="8"/>
      <c r="N73" s="8"/>
    </row>
    <row r="74" spans="1:14">
      <c r="A74" s="57"/>
      <c r="B74" s="57"/>
      <c r="C74" s="57"/>
      <c r="D74" s="57"/>
      <c r="E74" s="57"/>
      <c r="F74" s="20"/>
      <c r="G74" s="20"/>
      <c r="H74" s="20"/>
      <c r="I74" s="20"/>
      <c r="J74" s="20"/>
      <c r="K74" s="20"/>
      <c r="L74" s="20"/>
      <c r="M74" s="8"/>
      <c r="N74" s="8"/>
    </row>
    <row r="75" spans="1:14" ht="16.5" thickBot="1">
      <c r="A75" s="57"/>
      <c r="B75" s="57"/>
      <c r="C75" s="57" t="s">
        <v>10</v>
      </c>
      <c r="D75" s="31">
        <f>SUM(D72:D73)</f>
        <v>16585.93</v>
      </c>
      <c r="E75" s="31">
        <f>SUM(E72:E73)</f>
        <v>638.81999999999994</v>
      </c>
      <c r="F75" s="31">
        <f>SUM(F72:F73)</f>
        <v>355.85</v>
      </c>
      <c r="G75" s="31">
        <f t="shared" ref="G75:K75" si="16">SUM(G72:G73)</f>
        <v>0</v>
      </c>
      <c r="H75" s="31">
        <f t="shared" si="16"/>
        <v>0</v>
      </c>
      <c r="I75" s="31">
        <f t="shared" si="16"/>
        <v>0</v>
      </c>
      <c r="J75" s="31">
        <f t="shared" si="16"/>
        <v>0</v>
      </c>
      <c r="K75" s="31">
        <f t="shared" si="16"/>
        <v>0</v>
      </c>
      <c r="L75" s="31">
        <f>SUM(L72:L73)</f>
        <v>17580.599999999999</v>
      </c>
      <c r="M75" s="8"/>
      <c r="N75" s="8"/>
    </row>
    <row r="76" spans="1:14" ht="16.5" thickTop="1">
      <c r="A76" s="57"/>
      <c r="B76" s="57"/>
      <c r="C76" s="57"/>
      <c r="D76" s="57"/>
      <c r="E76" s="57"/>
      <c r="F76" s="20"/>
      <c r="G76" s="20"/>
      <c r="H76" s="20"/>
      <c r="I76" s="20"/>
      <c r="J76" s="20"/>
      <c r="K76" s="20"/>
      <c r="L76" s="20"/>
      <c r="M76" s="8"/>
      <c r="N76" s="8"/>
    </row>
    <row r="77" spans="1:14">
      <c r="A77" s="57"/>
      <c r="B77" s="57"/>
      <c r="C77" s="57"/>
      <c r="D77" s="57"/>
      <c r="E77" s="57"/>
      <c r="F77" s="20"/>
      <c r="G77" s="20"/>
      <c r="H77" s="20"/>
      <c r="I77" s="20"/>
      <c r="J77" s="20"/>
      <c r="K77" s="20"/>
      <c r="L77" s="20"/>
      <c r="M77" s="8"/>
      <c r="N77" s="8"/>
    </row>
    <row r="78" spans="1:14">
      <c r="A78" s="57">
        <v>32</v>
      </c>
      <c r="B78" s="57" t="s">
        <v>25</v>
      </c>
      <c r="C78" s="57" t="s">
        <v>12</v>
      </c>
      <c r="D78" s="20">
        <v>37250.67</v>
      </c>
      <c r="E78" s="20">
        <v>324.68</v>
      </c>
      <c r="F78" s="20">
        <v>248.94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f>SUM(D78:K78)</f>
        <v>37824.29</v>
      </c>
      <c r="M78" s="8"/>
      <c r="N78" s="8"/>
    </row>
    <row r="79" spans="1:14" ht="16.5" thickBot="1">
      <c r="A79" s="57"/>
      <c r="B79" s="57"/>
      <c r="C79" s="57" t="s">
        <v>13</v>
      </c>
      <c r="D79" s="29">
        <v>628.79999999999995</v>
      </c>
      <c r="E79" s="29">
        <v>5.37</v>
      </c>
      <c r="F79" s="29">
        <v>4.71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f>SUM(D79:K81)</f>
        <v>638.88</v>
      </c>
      <c r="M79" s="8"/>
      <c r="N79" s="8"/>
    </row>
    <row r="80" spans="1:14" hidden="1">
      <c r="A80" s="57"/>
      <c r="B80" s="57"/>
      <c r="C80" s="57" t="s">
        <v>73</v>
      </c>
      <c r="D80" s="57"/>
      <c r="E80" s="57"/>
      <c r="F80" s="20"/>
      <c r="G80" s="20"/>
      <c r="H80" s="20"/>
      <c r="I80" s="20"/>
      <c r="J80" s="20"/>
      <c r="K80" s="20"/>
      <c r="L80" s="20">
        <f>SUM(F80:K80)</f>
        <v>0</v>
      </c>
      <c r="M80" s="8"/>
      <c r="N80" s="8"/>
    </row>
    <row r="81" spans="1:14" ht="16.5" hidden="1" thickBot="1">
      <c r="A81" s="57"/>
      <c r="B81" s="57"/>
      <c r="C81" s="57" t="s">
        <v>78</v>
      </c>
      <c r="D81" s="57"/>
      <c r="E81" s="57"/>
      <c r="F81" s="29"/>
      <c r="G81" s="29"/>
      <c r="H81" s="29"/>
      <c r="I81" s="29"/>
      <c r="J81" s="29"/>
      <c r="K81" s="29"/>
      <c r="L81" s="29">
        <f>SUM(F81:K81)</f>
        <v>0</v>
      </c>
      <c r="M81" s="8"/>
      <c r="N81" s="8"/>
    </row>
    <row r="82" spans="1:14">
      <c r="A82" s="57"/>
      <c r="B82" s="57"/>
      <c r="C82" s="57"/>
      <c r="D82" s="57"/>
      <c r="E82" s="57"/>
      <c r="F82" s="20"/>
      <c r="G82" s="20"/>
      <c r="H82" s="20"/>
      <c r="I82" s="20"/>
      <c r="J82" s="20"/>
      <c r="K82" s="20"/>
      <c r="L82" s="20"/>
      <c r="M82" s="8"/>
      <c r="N82" s="8"/>
    </row>
    <row r="83" spans="1:14" ht="16.5" thickBot="1">
      <c r="A83" s="57"/>
      <c r="B83" s="57"/>
      <c r="C83" s="57" t="s">
        <v>10</v>
      </c>
      <c r="D83" s="31">
        <f t="shared" ref="D83" si="17">SUM(D78:D81)</f>
        <v>37879.47</v>
      </c>
      <c r="E83" s="31">
        <f t="shared" ref="E83:K83" si="18">SUM(E78:E81)</f>
        <v>330.05</v>
      </c>
      <c r="F83" s="31">
        <f t="shared" si="18"/>
        <v>253.65</v>
      </c>
      <c r="G83" s="31">
        <f t="shared" si="18"/>
        <v>0</v>
      </c>
      <c r="H83" s="31">
        <f t="shared" si="18"/>
        <v>0</v>
      </c>
      <c r="I83" s="31">
        <f t="shared" si="18"/>
        <v>0</v>
      </c>
      <c r="J83" s="31">
        <f t="shared" si="18"/>
        <v>0</v>
      </c>
      <c r="K83" s="31">
        <f t="shared" si="18"/>
        <v>0</v>
      </c>
      <c r="L83" s="31">
        <f>SUM(L78:L79)</f>
        <v>38463.17</v>
      </c>
      <c r="M83" s="8"/>
      <c r="N83" s="8"/>
    </row>
    <row r="84" spans="1:14" ht="16.5" thickTop="1">
      <c r="A84" s="57"/>
      <c r="B84" s="57"/>
      <c r="C84" s="57"/>
      <c r="D84" s="57"/>
      <c r="E84" s="57"/>
      <c r="F84" s="20"/>
      <c r="G84" s="20"/>
      <c r="H84" s="20"/>
      <c r="I84" s="20"/>
      <c r="J84" s="20"/>
      <c r="K84" s="20"/>
      <c r="L84" s="20"/>
      <c r="M84" s="8"/>
      <c r="N84" s="8"/>
    </row>
    <row r="85" spans="1:14">
      <c r="A85" s="57"/>
      <c r="B85" s="57"/>
      <c r="C85" s="57"/>
      <c r="D85" s="57"/>
      <c r="E85" s="57"/>
      <c r="F85" s="20"/>
      <c r="G85" s="20"/>
      <c r="H85" s="20"/>
      <c r="I85" s="20"/>
      <c r="J85" s="20"/>
      <c r="K85" s="20"/>
      <c r="L85" s="20"/>
      <c r="M85" s="8"/>
      <c r="N85" s="8"/>
    </row>
    <row r="86" spans="1:14">
      <c r="A86" s="57">
        <v>33</v>
      </c>
      <c r="B86" s="57" t="s">
        <v>26</v>
      </c>
      <c r="C86" s="57" t="s">
        <v>12</v>
      </c>
      <c r="D86" s="20">
        <v>29472.35</v>
      </c>
      <c r="E86" s="20">
        <v>981.97</v>
      </c>
      <c r="F86" s="20">
        <v>783.86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f>SUM(D86:K86)</f>
        <v>31238.18</v>
      </c>
      <c r="M86" s="8"/>
      <c r="N86" s="8"/>
    </row>
    <row r="87" spans="1:14" ht="16.5" thickBot="1">
      <c r="A87" s="57"/>
      <c r="B87" s="57"/>
      <c r="C87" s="57" t="s">
        <v>13</v>
      </c>
      <c r="D87" s="29">
        <v>1925.52</v>
      </c>
      <c r="E87" s="29">
        <v>64.06</v>
      </c>
      <c r="F87" s="29">
        <v>56.18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f>SUM(D87:K87)</f>
        <v>2045.76</v>
      </c>
      <c r="M87" s="8"/>
      <c r="N87" s="8"/>
    </row>
    <row r="88" spans="1:14">
      <c r="A88" s="57"/>
      <c r="B88" s="57"/>
      <c r="C88" s="57"/>
      <c r="D88" s="57"/>
      <c r="E88" s="57"/>
      <c r="F88" s="20"/>
      <c r="G88" s="20"/>
      <c r="H88" s="20"/>
      <c r="I88" s="20"/>
      <c r="J88" s="20"/>
      <c r="K88" s="20"/>
      <c r="L88" s="20"/>
      <c r="M88" s="8"/>
      <c r="N88" s="8"/>
    </row>
    <row r="89" spans="1:14" ht="16.5" thickBot="1">
      <c r="A89" s="57"/>
      <c r="B89" s="57"/>
      <c r="C89" s="57" t="s">
        <v>10</v>
      </c>
      <c r="D89" s="31">
        <f>SUM(D86:D87)</f>
        <v>31397.87</v>
      </c>
      <c r="E89" s="31">
        <f>SUM(E86:E87)</f>
        <v>1046.03</v>
      </c>
      <c r="F89" s="31">
        <f t="shared" ref="F89:K89" si="19">SUM(F86:F87)</f>
        <v>840.04</v>
      </c>
      <c r="G89" s="31">
        <f t="shared" si="19"/>
        <v>0</v>
      </c>
      <c r="H89" s="31">
        <f t="shared" si="19"/>
        <v>0</v>
      </c>
      <c r="I89" s="31">
        <f t="shared" si="19"/>
        <v>0</v>
      </c>
      <c r="J89" s="31">
        <f t="shared" si="19"/>
        <v>0</v>
      </c>
      <c r="K89" s="31">
        <f t="shared" si="19"/>
        <v>0</v>
      </c>
      <c r="L89" s="31">
        <f>SUM(L86:L87)</f>
        <v>33283.94</v>
      </c>
      <c r="M89" s="8"/>
      <c r="N89" s="8"/>
    </row>
    <row r="90" spans="1:14" ht="16.5" thickTop="1">
      <c r="A90" s="57"/>
      <c r="B90" s="57"/>
      <c r="C90" s="57"/>
      <c r="D90" s="57"/>
      <c r="E90" s="57"/>
      <c r="F90" s="20"/>
      <c r="G90" s="20"/>
      <c r="H90" s="20"/>
      <c r="I90" s="20"/>
      <c r="J90" s="20"/>
      <c r="K90" s="20"/>
      <c r="L90" s="20"/>
      <c r="M90" s="8"/>
      <c r="N90" s="8"/>
    </row>
    <row r="91" spans="1:14">
      <c r="A91" s="57"/>
      <c r="B91" s="57"/>
      <c r="C91" s="57"/>
      <c r="D91" s="57"/>
      <c r="E91" s="57"/>
      <c r="F91" s="20"/>
      <c r="G91" s="20"/>
      <c r="H91" s="20"/>
      <c r="I91" s="20"/>
      <c r="J91" s="20"/>
      <c r="K91" s="20"/>
      <c r="L91" s="20"/>
      <c r="M91" s="8"/>
      <c r="N91" s="8"/>
    </row>
    <row r="92" spans="1:14">
      <c r="A92" s="57">
        <v>34</v>
      </c>
      <c r="B92" s="57" t="s">
        <v>27</v>
      </c>
      <c r="C92" s="57" t="s">
        <v>12</v>
      </c>
      <c r="D92" s="20">
        <v>40226.76</v>
      </c>
      <c r="E92" s="20">
        <v>57.95</v>
      </c>
      <c r="F92" s="20">
        <v>17.04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f>SUM(D92:K94)</f>
        <v>40301.75</v>
      </c>
      <c r="M92" s="8"/>
      <c r="N92" s="8"/>
    </row>
    <row r="93" spans="1:14" hidden="1">
      <c r="A93" s="57"/>
      <c r="B93" s="57"/>
      <c r="C93" s="57" t="s">
        <v>35</v>
      </c>
      <c r="D93" s="20"/>
      <c r="E93" s="20"/>
      <c r="F93" s="20"/>
      <c r="G93" s="20"/>
      <c r="H93" s="20"/>
      <c r="I93" s="20">
        <v>0</v>
      </c>
      <c r="J93" s="20">
        <v>0</v>
      </c>
      <c r="K93" s="20">
        <v>0</v>
      </c>
      <c r="L93" s="20">
        <f>SUM(F93:K93)</f>
        <v>0</v>
      </c>
      <c r="M93" s="8"/>
      <c r="N93" s="8"/>
    </row>
    <row r="94" spans="1:14" hidden="1">
      <c r="A94" s="57"/>
      <c r="B94" s="57"/>
      <c r="C94" s="57" t="s">
        <v>13</v>
      </c>
      <c r="D94" s="20"/>
      <c r="E94" s="20"/>
      <c r="F94" s="20"/>
      <c r="G94" s="20"/>
      <c r="H94" s="20"/>
      <c r="I94" s="20">
        <v>0</v>
      </c>
      <c r="J94" s="20">
        <v>0</v>
      </c>
      <c r="K94" s="20">
        <v>0</v>
      </c>
      <c r="L94" s="20">
        <f>SUM(F94:K94)</f>
        <v>0</v>
      </c>
      <c r="M94" s="8"/>
      <c r="N94" s="8"/>
    </row>
    <row r="95" spans="1:14" ht="16.5" thickBot="1">
      <c r="A95" s="57"/>
      <c r="B95" s="57"/>
      <c r="C95" s="57" t="s">
        <v>13</v>
      </c>
      <c r="D95" s="29">
        <v>514.01</v>
      </c>
      <c r="E95" s="29">
        <v>1.73</v>
      </c>
      <c r="F95" s="29">
        <v>0.36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f>SUM(D95:K95)</f>
        <v>516.1</v>
      </c>
      <c r="M95" s="8"/>
      <c r="N95" s="8"/>
    </row>
    <row r="96" spans="1:14">
      <c r="A96" s="57"/>
      <c r="B96" s="57"/>
      <c r="C96" s="57"/>
      <c r="D96" s="57"/>
      <c r="E96" s="57"/>
      <c r="F96" s="20"/>
      <c r="G96" s="20"/>
      <c r="H96" s="20"/>
      <c r="I96" s="20"/>
      <c r="J96" s="20"/>
      <c r="K96" s="20"/>
      <c r="L96" s="20"/>
      <c r="M96" s="8"/>
      <c r="N96" s="8"/>
    </row>
    <row r="97" spans="1:14" ht="16.5" thickBot="1">
      <c r="A97" s="57"/>
      <c r="B97" s="57"/>
      <c r="C97" s="57" t="s">
        <v>10</v>
      </c>
      <c r="D97" s="31">
        <f t="shared" ref="D97" si="20">SUM(D92:D96)</f>
        <v>40740.770000000004</v>
      </c>
      <c r="E97" s="31">
        <f t="shared" ref="E97:K97" si="21">SUM(E92:E96)</f>
        <v>59.68</v>
      </c>
      <c r="F97" s="31">
        <f t="shared" si="21"/>
        <v>17.399999999999999</v>
      </c>
      <c r="G97" s="31">
        <f t="shared" si="21"/>
        <v>0</v>
      </c>
      <c r="H97" s="31">
        <f t="shared" si="21"/>
        <v>0</v>
      </c>
      <c r="I97" s="31">
        <f t="shared" si="21"/>
        <v>0</v>
      </c>
      <c r="J97" s="31">
        <f t="shared" si="21"/>
        <v>0</v>
      </c>
      <c r="K97" s="31">
        <f t="shared" si="21"/>
        <v>0</v>
      </c>
      <c r="L97" s="31">
        <f>SUM(L92:L95)</f>
        <v>40817.85</v>
      </c>
      <c r="M97" s="8"/>
      <c r="N97" s="8"/>
    </row>
    <row r="98" spans="1:14" ht="16.5" thickTop="1">
      <c r="A98" s="57"/>
      <c r="B98" s="57"/>
      <c r="C98" s="57"/>
      <c r="D98" s="57"/>
      <c r="E98" s="57"/>
      <c r="F98" s="20"/>
      <c r="G98" s="20"/>
      <c r="H98" s="20"/>
      <c r="I98" s="20"/>
      <c r="J98" s="20"/>
      <c r="K98" s="20"/>
      <c r="L98" s="20"/>
      <c r="M98" s="8"/>
      <c r="N98" s="8"/>
    </row>
    <row r="99" spans="1:14">
      <c r="A99" s="57"/>
      <c r="B99" s="57"/>
      <c r="C99" s="57"/>
      <c r="D99" s="57"/>
      <c r="E99" s="57"/>
      <c r="F99" s="20"/>
      <c r="G99" s="20"/>
      <c r="H99" s="20"/>
      <c r="I99" s="20"/>
      <c r="J99" s="20"/>
      <c r="K99" s="20"/>
      <c r="L99" s="20"/>
      <c r="M99" s="8"/>
      <c r="N99" s="8"/>
    </row>
    <row r="100" spans="1:14">
      <c r="A100" s="57">
        <v>35</v>
      </c>
      <c r="B100" s="57" t="s">
        <v>28</v>
      </c>
      <c r="C100" s="57" t="s">
        <v>12</v>
      </c>
      <c r="D100" s="20">
        <v>15548.94</v>
      </c>
      <c r="E100" s="20">
        <v>285.02999999999997</v>
      </c>
      <c r="F100" s="20">
        <v>138.59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f>SUM(D100:K100)</f>
        <v>15972.560000000001</v>
      </c>
      <c r="M100" s="8"/>
      <c r="N100" s="8"/>
    </row>
    <row r="101" spans="1:14" ht="16.5" thickBot="1">
      <c r="A101" s="57"/>
      <c r="B101" s="57"/>
      <c r="C101" s="57" t="s">
        <v>116</v>
      </c>
      <c r="D101" s="29">
        <v>12145.45</v>
      </c>
      <c r="E101" s="29">
        <v>149.86000000000001</v>
      </c>
      <c r="F101" s="29">
        <v>72.84</v>
      </c>
      <c r="G101" s="29">
        <v>0</v>
      </c>
      <c r="H101" s="29">
        <v>0</v>
      </c>
      <c r="I101" s="29"/>
      <c r="J101" s="29"/>
      <c r="K101" s="29"/>
      <c r="L101" s="29">
        <f>SUM(D101:K101)</f>
        <v>12368.150000000001</v>
      </c>
      <c r="M101" s="8"/>
      <c r="N101" s="8"/>
    </row>
    <row r="102" spans="1:14">
      <c r="A102" s="57"/>
      <c r="B102" s="57"/>
      <c r="C102" s="57"/>
      <c r="D102" s="57"/>
      <c r="E102" s="57"/>
      <c r="F102" s="20"/>
      <c r="G102" s="20"/>
      <c r="H102" s="20"/>
      <c r="I102" s="20"/>
      <c r="J102" s="20"/>
      <c r="K102" s="20"/>
      <c r="L102" s="20"/>
      <c r="M102" s="8"/>
      <c r="N102" s="8"/>
    </row>
    <row r="103" spans="1:14" ht="16.5" thickBot="1">
      <c r="A103" s="57"/>
      <c r="B103" s="57"/>
      <c r="C103" s="57" t="s">
        <v>10</v>
      </c>
      <c r="D103" s="31">
        <f>SUM(D100:D101)</f>
        <v>27694.39</v>
      </c>
      <c r="E103" s="31">
        <f>SUM(E100:E101)</f>
        <v>434.89</v>
      </c>
      <c r="F103" s="31">
        <f t="shared" ref="F103:K103" si="22">SUM(F100:F102)</f>
        <v>211.43</v>
      </c>
      <c r="G103" s="31">
        <f t="shared" si="22"/>
        <v>0</v>
      </c>
      <c r="H103" s="31">
        <f t="shared" si="22"/>
        <v>0</v>
      </c>
      <c r="I103" s="31">
        <f t="shared" si="22"/>
        <v>0</v>
      </c>
      <c r="J103" s="31">
        <f t="shared" si="22"/>
        <v>0</v>
      </c>
      <c r="K103" s="31">
        <f t="shared" si="22"/>
        <v>0</v>
      </c>
      <c r="L103" s="31">
        <f>SUM(L100:L101)</f>
        <v>28340.710000000003</v>
      </c>
      <c r="M103" s="8"/>
      <c r="N103" s="8"/>
    </row>
    <row r="104" spans="1:14" ht="16.5" thickTop="1">
      <c r="A104" s="57"/>
      <c r="B104" s="57"/>
      <c r="C104" s="57"/>
      <c r="D104" s="57"/>
      <c r="E104" s="57"/>
      <c r="F104" s="20"/>
      <c r="G104" s="20"/>
      <c r="H104" s="20"/>
      <c r="I104" s="20"/>
      <c r="J104" s="20"/>
      <c r="K104" s="20"/>
      <c r="L104" s="20"/>
      <c r="M104" s="8"/>
      <c r="N104" s="8"/>
    </row>
    <row r="105" spans="1:14">
      <c r="A105" s="57"/>
      <c r="B105" s="57"/>
      <c r="C105" s="57"/>
      <c r="D105" s="57"/>
      <c r="E105" s="57"/>
      <c r="F105" s="20"/>
      <c r="G105" s="20"/>
      <c r="H105" s="20"/>
      <c r="I105" s="20"/>
      <c r="J105" s="20"/>
      <c r="K105" s="20"/>
      <c r="L105" s="20"/>
      <c r="M105" s="8"/>
      <c r="N105" s="8"/>
    </row>
    <row r="106" spans="1:14">
      <c r="A106" s="57">
        <v>36</v>
      </c>
      <c r="B106" s="57" t="s">
        <v>29</v>
      </c>
      <c r="C106" s="57" t="s">
        <v>12</v>
      </c>
      <c r="D106" s="20">
        <v>44734.28</v>
      </c>
      <c r="E106" s="20">
        <v>322.01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f>SUM(D106:K107)</f>
        <v>45056.29</v>
      </c>
      <c r="M106" s="8"/>
      <c r="N106" s="8"/>
    </row>
    <row r="107" spans="1:14" hidden="1">
      <c r="A107" s="57"/>
      <c r="B107" s="57"/>
      <c r="C107" s="57" t="s">
        <v>13</v>
      </c>
      <c r="D107" s="20"/>
      <c r="E107" s="20"/>
      <c r="F107" s="20"/>
      <c r="G107" s="20"/>
      <c r="H107" s="20"/>
      <c r="I107" s="20">
        <v>0</v>
      </c>
      <c r="J107" s="20">
        <v>0</v>
      </c>
      <c r="K107" s="20">
        <v>0</v>
      </c>
      <c r="L107" s="20">
        <f>SUM(F107:K107)</f>
        <v>0</v>
      </c>
      <c r="M107" s="8"/>
      <c r="N107" s="8"/>
    </row>
    <row r="108" spans="1:14" ht="16.5" thickBot="1">
      <c r="A108" s="57"/>
      <c r="B108" s="57"/>
      <c r="C108" s="57" t="s">
        <v>13</v>
      </c>
      <c r="D108" s="29">
        <v>608.89</v>
      </c>
      <c r="E108" s="29">
        <v>4.45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f>SUM(D108:K108)</f>
        <v>613.34</v>
      </c>
      <c r="M108" s="8"/>
      <c r="N108" s="8"/>
    </row>
    <row r="109" spans="1:14">
      <c r="A109" s="57"/>
      <c r="B109" s="57"/>
      <c r="C109" s="57"/>
      <c r="D109" s="57"/>
      <c r="E109" s="57"/>
      <c r="F109" s="20"/>
      <c r="G109" s="20"/>
      <c r="H109" s="20"/>
      <c r="I109" s="20"/>
      <c r="J109" s="20"/>
      <c r="K109" s="20"/>
      <c r="L109" s="20"/>
      <c r="M109" s="8"/>
      <c r="N109" s="8"/>
    </row>
    <row r="110" spans="1:14" ht="16.5" thickBot="1">
      <c r="A110" s="57"/>
      <c r="B110" s="57"/>
      <c r="C110" s="57" t="s">
        <v>10</v>
      </c>
      <c r="D110" s="31">
        <f t="shared" ref="D110" si="23">SUM(D106:D108)</f>
        <v>45343.17</v>
      </c>
      <c r="E110" s="31">
        <f t="shared" ref="E110:K110" si="24">SUM(E106:E108)</f>
        <v>326.45999999999998</v>
      </c>
      <c r="F110" s="31">
        <f t="shared" si="24"/>
        <v>0</v>
      </c>
      <c r="G110" s="31">
        <f t="shared" si="24"/>
        <v>0</v>
      </c>
      <c r="H110" s="31">
        <f t="shared" si="24"/>
        <v>0</v>
      </c>
      <c r="I110" s="31">
        <f t="shared" si="24"/>
        <v>0</v>
      </c>
      <c r="J110" s="31">
        <f t="shared" si="24"/>
        <v>0</v>
      </c>
      <c r="K110" s="31">
        <f t="shared" si="24"/>
        <v>0</v>
      </c>
      <c r="L110" s="31">
        <f>SUM(L106:L108)</f>
        <v>45669.63</v>
      </c>
      <c r="M110" s="8"/>
      <c r="N110" s="8"/>
    </row>
    <row r="111" spans="1:14" ht="16.5" thickTop="1">
      <c r="A111" s="57"/>
      <c r="B111" s="57"/>
      <c r="C111" s="57"/>
      <c r="D111" s="57"/>
      <c r="E111" s="57"/>
      <c r="F111" s="20"/>
      <c r="G111" s="20"/>
      <c r="H111" s="20"/>
      <c r="I111" s="20"/>
      <c r="J111" s="20"/>
      <c r="K111" s="20"/>
      <c r="L111" s="20"/>
      <c r="M111" s="8"/>
      <c r="N111" s="8"/>
    </row>
    <row r="112" spans="1:14">
      <c r="A112" s="57"/>
      <c r="B112" s="57"/>
      <c r="C112" s="57"/>
      <c r="D112" s="57"/>
      <c r="E112" s="57"/>
      <c r="F112" s="20"/>
      <c r="G112" s="20"/>
      <c r="H112" s="20"/>
      <c r="I112" s="20"/>
      <c r="J112" s="20"/>
      <c r="K112" s="20"/>
      <c r="L112" s="20"/>
      <c r="M112" s="8"/>
      <c r="N112" s="8"/>
    </row>
    <row r="113" spans="1:14" ht="16.5" thickBot="1">
      <c r="A113" s="57">
        <v>37</v>
      </c>
      <c r="B113" s="57" t="s">
        <v>30</v>
      </c>
      <c r="C113" s="57" t="s">
        <v>12</v>
      </c>
      <c r="D113" s="29">
        <v>45713.4</v>
      </c>
      <c r="E113" s="29">
        <v>194.96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f>SUM(D113:K113)</f>
        <v>45908.36</v>
      </c>
      <c r="M113" s="8"/>
      <c r="N113" s="8"/>
    </row>
    <row r="114" spans="1:14">
      <c r="A114" s="57"/>
      <c r="B114" s="57"/>
      <c r="C114" s="57"/>
      <c r="D114" s="57"/>
      <c r="E114" s="57"/>
      <c r="F114" s="20"/>
      <c r="G114" s="20"/>
      <c r="H114" s="20"/>
      <c r="I114" s="20"/>
      <c r="J114" s="20"/>
      <c r="K114" s="20"/>
      <c r="L114" s="20"/>
      <c r="M114" s="8"/>
      <c r="N114" s="8"/>
    </row>
    <row r="115" spans="1:14" ht="16.5" thickBot="1">
      <c r="A115" s="57"/>
      <c r="B115" s="57"/>
      <c r="C115" s="57" t="s">
        <v>10</v>
      </c>
      <c r="D115" s="31">
        <f>SUM(D113)</f>
        <v>45713.4</v>
      </c>
      <c r="E115" s="31">
        <f>SUM(E113)</f>
        <v>194.96</v>
      </c>
      <c r="F115" s="31">
        <f t="shared" ref="F115:K115" si="25">SUM(F113:F114)</f>
        <v>0</v>
      </c>
      <c r="G115" s="31">
        <f t="shared" si="25"/>
        <v>0</v>
      </c>
      <c r="H115" s="31">
        <f t="shared" si="25"/>
        <v>0</v>
      </c>
      <c r="I115" s="31">
        <f t="shared" si="25"/>
        <v>0</v>
      </c>
      <c r="J115" s="31">
        <f t="shared" si="25"/>
        <v>0</v>
      </c>
      <c r="K115" s="31">
        <f t="shared" si="25"/>
        <v>0</v>
      </c>
      <c r="L115" s="31">
        <f>SUM(L113)</f>
        <v>45908.36</v>
      </c>
      <c r="M115" s="8"/>
      <c r="N115" s="8"/>
    </row>
    <row r="116" spans="1:14" ht="16.5" thickTop="1">
      <c r="A116" s="57"/>
      <c r="B116" s="57"/>
      <c r="C116" s="57"/>
      <c r="D116" s="57"/>
      <c r="E116" s="57"/>
      <c r="F116" s="20"/>
      <c r="G116" s="20"/>
      <c r="H116" s="20"/>
      <c r="I116" s="20"/>
      <c r="J116" s="20"/>
      <c r="K116" s="20"/>
      <c r="L116" s="20"/>
      <c r="M116" s="8"/>
      <c r="N116" s="8"/>
    </row>
    <row r="117" spans="1:14">
      <c r="A117" s="57"/>
      <c r="B117" s="57"/>
      <c r="C117" s="57"/>
      <c r="D117" s="57"/>
      <c r="E117" s="57"/>
      <c r="F117" s="20"/>
      <c r="G117" s="20"/>
      <c r="H117" s="20"/>
      <c r="I117" s="20"/>
      <c r="J117" s="20"/>
      <c r="K117" s="20"/>
      <c r="L117" s="20"/>
      <c r="M117" s="8"/>
      <c r="N117" s="8"/>
    </row>
    <row r="118" spans="1:14">
      <c r="A118" s="57">
        <v>38</v>
      </c>
      <c r="B118" s="57" t="s">
        <v>31</v>
      </c>
      <c r="C118" s="57" t="s">
        <v>12</v>
      </c>
      <c r="D118" s="20">
        <v>23078.880000000001</v>
      </c>
      <c r="E118" s="20">
        <v>29.31</v>
      </c>
      <c r="F118" s="20">
        <v>185.94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f>SUM(D118:K118)</f>
        <v>23294.13</v>
      </c>
      <c r="M118" s="8"/>
      <c r="N118" s="8"/>
    </row>
    <row r="119" spans="1:14" hidden="1">
      <c r="A119" s="57"/>
      <c r="B119" s="57"/>
      <c r="C119" s="57" t="s">
        <v>35</v>
      </c>
      <c r="D119" s="20"/>
      <c r="E119" s="20"/>
      <c r="F119" s="20"/>
      <c r="G119" s="20"/>
      <c r="H119" s="20">
        <v>0</v>
      </c>
      <c r="I119" s="20">
        <v>0</v>
      </c>
      <c r="J119" s="20">
        <v>0</v>
      </c>
      <c r="K119" s="20">
        <v>0</v>
      </c>
      <c r="L119" s="20">
        <f>SUM(F119:K119)</f>
        <v>0</v>
      </c>
      <c r="M119" s="8"/>
      <c r="N119" s="8"/>
    </row>
    <row r="120" spans="1:14" ht="16.5" thickBot="1">
      <c r="A120" s="57"/>
      <c r="B120" s="57"/>
      <c r="C120" s="57" t="s">
        <v>13</v>
      </c>
      <c r="D120" s="29">
        <v>589.79</v>
      </c>
      <c r="E120" s="29">
        <v>0.8</v>
      </c>
      <c r="F120" s="29">
        <v>5.0599999999999996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f>SUM(D120:K121)</f>
        <v>595.64999999999986</v>
      </c>
      <c r="M120" s="8"/>
      <c r="N120" s="8"/>
    </row>
    <row r="121" spans="1:14" ht="16.5" hidden="1" thickBot="1">
      <c r="A121" s="57"/>
      <c r="B121" s="57"/>
      <c r="C121" s="57" t="s">
        <v>78</v>
      </c>
      <c r="D121" s="57"/>
      <c r="E121" s="57"/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f>SUM(F121:K121)</f>
        <v>0</v>
      </c>
      <c r="M121" s="8"/>
      <c r="N121" s="8"/>
    </row>
    <row r="122" spans="1:14">
      <c r="A122" s="57"/>
      <c r="B122" s="57"/>
      <c r="C122" s="57"/>
      <c r="D122" s="57"/>
      <c r="E122" s="57"/>
      <c r="F122" s="20"/>
      <c r="G122" s="20"/>
      <c r="H122" s="20"/>
      <c r="I122" s="20"/>
      <c r="J122" s="20"/>
      <c r="K122" s="20"/>
      <c r="L122" s="20"/>
      <c r="M122" s="8"/>
      <c r="N122" s="8"/>
    </row>
    <row r="123" spans="1:14" ht="16.5" thickBot="1">
      <c r="A123" s="57"/>
      <c r="B123" s="57"/>
      <c r="C123" s="57" t="s">
        <v>10</v>
      </c>
      <c r="D123" s="31">
        <f t="shared" ref="D123" si="26">SUM(D118:D121)</f>
        <v>23668.670000000002</v>
      </c>
      <c r="E123" s="31">
        <f t="shared" ref="E123:K123" si="27">SUM(E118:E121)</f>
        <v>30.11</v>
      </c>
      <c r="F123" s="31">
        <f t="shared" si="27"/>
        <v>191</v>
      </c>
      <c r="G123" s="31">
        <f t="shared" si="27"/>
        <v>0</v>
      </c>
      <c r="H123" s="31">
        <f t="shared" si="27"/>
        <v>0</v>
      </c>
      <c r="I123" s="31">
        <f t="shared" si="27"/>
        <v>0</v>
      </c>
      <c r="J123" s="31">
        <f t="shared" si="27"/>
        <v>0</v>
      </c>
      <c r="K123" s="31">
        <f t="shared" si="27"/>
        <v>0</v>
      </c>
      <c r="L123" s="31">
        <f>SUM(L118:L120)</f>
        <v>23889.780000000002</v>
      </c>
      <c r="M123" s="8"/>
      <c r="N123" s="8"/>
    </row>
    <row r="124" spans="1:14" ht="16.5" hidden="1" thickTop="1">
      <c r="A124" s="57"/>
      <c r="B124" s="57"/>
      <c r="C124" s="57"/>
      <c r="D124" s="57"/>
      <c r="E124" s="57"/>
      <c r="F124" s="20"/>
      <c r="G124" s="20"/>
      <c r="H124" s="20"/>
      <c r="I124" s="20"/>
      <c r="J124" s="20"/>
      <c r="K124" s="20"/>
      <c r="L124" s="20"/>
      <c r="M124" s="8"/>
      <c r="N124" s="8"/>
    </row>
    <row r="125" spans="1:14" hidden="1">
      <c r="A125" s="57"/>
      <c r="B125" s="57"/>
      <c r="C125" s="57"/>
      <c r="D125" s="57"/>
      <c r="E125" s="57"/>
      <c r="F125" s="20"/>
      <c r="G125" s="20"/>
      <c r="H125" s="20"/>
      <c r="I125" s="20"/>
      <c r="J125" s="20"/>
      <c r="K125" s="20"/>
      <c r="L125" s="20"/>
      <c r="M125" s="8"/>
      <c r="N125" s="8"/>
    </row>
    <row r="126" spans="1:14" ht="16.5" hidden="1" thickBot="1">
      <c r="A126" s="57">
        <v>39</v>
      </c>
      <c r="B126" s="57" t="s">
        <v>32</v>
      </c>
      <c r="C126" s="57" t="s">
        <v>12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f>SUM(E126:K126)</f>
        <v>0</v>
      </c>
      <c r="M126" s="8"/>
      <c r="N126" s="8"/>
    </row>
    <row r="127" spans="1:14" hidden="1">
      <c r="A127" s="57"/>
      <c r="B127" s="57"/>
      <c r="C127" s="57"/>
      <c r="D127" s="57"/>
      <c r="E127" s="57"/>
      <c r="F127" s="20"/>
      <c r="G127" s="20"/>
      <c r="H127" s="20"/>
      <c r="I127" s="20"/>
      <c r="J127" s="20"/>
      <c r="K127" s="20"/>
      <c r="L127" s="20"/>
      <c r="M127" s="8"/>
      <c r="N127" s="8"/>
    </row>
    <row r="128" spans="1:14" ht="16.5" hidden="1" thickBot="1">
      <c r="A128" s="57"/>
      <c r="B128" s="57"/>
      <c r="C128" s="57" t="s">
        <v>10</v>
      </c>
      <c r="D128" s="31">
        <f>D126</f>
        <v>0</v>
      </c>
      <c r="E128" s="31">
        <f>E126</f>
        <v>0</v>
      </c>
      <c r="F128" s="31">
        <f>F126</f>
        <v>0</v>
      </c>
      <c r="G128" s="31">
        <f t="shared" ref="G128:K128" si="28">G126</f>
        <v>0</v>
      </c>
      <c r="H128" s="31">
        <f t="shared" si="28"/>
        <v>0</v>
      </c>
      <c r="I128" s="31">
        <f t="shared" si="28"/>
        <v>0</v>
      </c>
      <c r="J128" s="31">
        <f t="shared" si="28"/>
        <v>0</v>
      </c>
      <c r="K128" s="31">
        <f t="shared" si="28"/>
        <v>0</v>
      </c>
      <c r="L128" s="31">
        <f>L126</f>
        <v>0</v>
      </c>
      <c r="M128" s="8"/>
      <c r="N128" s="8"/>
    </row>
    <row r="129" spans="1:14" ht="16.5" thickTop="1">
      <c r="A129" s="57"/>
      <c r="B129" s="57"/>
      <c r="C129" s="57"/>
      <c r="D129" s="57"/>
      <c r="E129" s="57"/>
      <c r="F129" s="20"/>
      <c r="G129" s="20"/>
      <c r="H129" s="20"/>
      <c r="I129" s="20"/>
      <c r="J129" s="20"/>
      <c r="K129" s="20"/>
      <c r="L129" s="20"/>
      <c r="M129" s="8"/>
      <c r="N129" s="8"/>
    </row>
    <row r="130" spans="1:14" ht="16.5" thickBot="1">
      <c r="A130" s="57">
        <v>40</v>
      </c>
      <c r="B130" s="57" t="s">
        <v>33</v>
      </c>
      <c r="C130" s="57" t="s">
        <v>12</v>
      </c>
      <c r="D130" s="29">
        <v>28760.11</v>
      </c>
      <c r="E130" s="29">
        <v>38.06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f>SUM(D130:K130)</f>
        <v>28798.170000000002</v>
      </c>
      <c r="M130" s="8"/>
      <c r="N130" s="8"/>
    </row>
    <row r="131" spans="1:14">
      <c r="A131" s="57"/>
      <c r="B131" s="57"/>
      <c r="C131" s="57"/>
      <c r="D131" s="57"/>
      <c r="E131" s="57"/>
      <c r="F131" s="20"/>
      <c r="G131" s="20"/>
      <c r="H131" s="20"/>
      <c r="I131" s="20"/>
      <c r="J131" s="20"/>
      <c r="K131" s="20"/>
      <c r="L131" s="20"/>
      <c r="M131" s="8"/>
      <c r="N131" s="8"/>
    </row>
    <row r="132" spans="1:14" ht="16.5" thickBot="1">
      <c r="A132" s="57"/>
      <c r="B132" s="57"/>
      <c r="C132" s="57" t="s">
        <v>10</v>
      </c>
      <c r="D132" s="31">
        <f>SUM(D130)</f>
        <v>28760.11</v>
      </c>
      <c r="E132" s="31">
        <f>SUM(E130)</f>
        <v>38.06</v>
      </c>
      <c r="F132" s="31">
        <f t="shared" ref="F132:K132" si="29">SUM(F130:F131)</f>
        <v>0</v>
      </c>
      <c r="G132" s="31">
        <f t="shared" si="29"/>
        <v>0</v>
      </c>
      <c r="H132" s="31">
        <f t="shared" si="29"/>
        <v>0</v>
      </c>
      <c r="I132" s="31">
        <f t="shared" si="29"/>
        <v>0</v>
      </c>
      <c r="J132" s="31">
        <f t="shared" si="29"/>
        <v>0</v>
      </c>
      <c r="K132" s="31">
        <f t="shared" si="29"/>
        <v>0</v>
      </c>
      <c r="L132" s="31">
        <f>SUM(L130)</f>
        <v>28798.170000000002</v>
      </c>
      <c r="M132" s="8"/>
      <c r="N132" s="8"/>
    </row>
    <row r="133" spans="1:14" ht="16.5" thickTop="1">
      <c r="A133" s="57"/>
      <c r="B133" s="57"/>
      <c r="C133" s="57"/>
      <c r="D133" s="57"/>
      <c r="E133" s="57"/>
      <c r="F133" s="20"/>
      <c r="G133" s="20"/>
      <c r="H133" s="20"/>
      <c r="I133" s="20"/>
      <c r="J133" s="20"/>
      <c r="K133" s="20"/>
      <c r="L133" s="20"/>
      <c r="M133" s="8"/>
      <c r="N133" s="8"/>
    </row>
    <row r="134" spans="1:14">
      <c r="A134" s="57"/>
      <c r="B134" s="57"/>
      <c r="C134" s="57"/>
      <c r="D134" s="57"/>
      <c r="E134" s="57"/>
      <c r="F134" s="20"/>
      <c r="G134" s="20"/>
      <c r="H134" s="20"/>
      <c r="I134" s="20"/>
      <c r="J134" s="20"/>
      <c r="K134" s="20"/>
      <c r="L134" s="20"/>
      <c r="M134" s="8"/>
      <c r="N134" s="8"/>
    </row>
    <row r="135" spans="1:14" ht="16.5" thickBot="1">
      <c r="A135" s="57">
        <v>41</v>
      </c>
      <c r="B135" s="57" t="s">
        <v>34</v>
      </c>
      <c r="C135" s="57" t="s">
        <v>12</v>
      </c>
      <c r="D135" s="29">
        <v>23029.58</v>
      </c>
      <c r="E135" s="29">
        <v>25.97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f>SUM(D135:K135)</f>
        <v>23055.550000000003</v>
      </c>
      <c r="M135" s="8"/>
      <c r="N135" s="8"/>
    </row>
    <row r="136" spans="1:14" hidden="1">
      <c r="A136" s="57"/>
      <c r="B136" s="57"/>
      <c r="C136" s="57" t="s">
        <v>35</v>
      </c>
      <c r="D136" s="57"/>
      <c r="E136" s="57"/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f>SUM(F136:K136)</f>
        <v>0</v>
      </c>
      <c r="M136" s="8"/>
      <c r="N136" s="8"/>
    </row>
    <row r="137" spans="1:14" ht="16.5" hidden="1" thickBot="1">
      <c r="A137" s="57"/>
      <c r="B137" s="57"/>
      <c r="C137" s="57" t="s">
        <v>109</v>
      </c>
      <c r="D137" s="57"/>
      <c r="E137" s="57"/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f>SUM(F137:K137)</f>
        <v>0</v>
      </c>
      <c r="M137" s="8"/>
      <c r="N137" s="8"/>
    </row>
    <row r="138" spans="1:14">
      <c r="A138" s="57"/>
      <c r="B138" s="57"/>
      <c r="C138" s="57"/>
      <c r="D138" s="57"/>
      <c r="E138" s="57"/>
      <c r="F138" s="20"/>
      <c r="G138" s="20"/>
      <c r="H138" s="20"/>
      <c r="I138" s="20"/>
      <c r="J138" s="20"/>
      <c r="K138" s="20"/>
      <c r="L138" s="20"/>
      <c r="M138" s="8"/>
      <c r="N138" s="8"/>
    </row>
    <row r="139" spans="1:14" ht="16.5" thickBot="1">
      <c r="A139" s="57"/>
      <c r="B139" s="57"/>
      <c r="C139" s="57" t="s">
        <v>10</v>
      </c>
      <c r="D139" s="31">
        <f>SUM(D135)</f>
        <v>23029.58</v>
      </c>
      <c r="E139" s="31">
        <f>SUM(E135)</f>
        <v>25.97</v>
      </c>
      <c r="F139" s="31">
        <f t="shared" ref="F139:K139" si="30">SUM(F135:F137)</f>
        <v>0</v>
      </c>
      <c r="G139" s="31">
        <f t="shared" si="30"/>
        <v>0</v>
      </c>
      <c r="H139" s="31">
        <f t="shared" si="30"/>
        <v>0</v>
      </c>
      <c r="I139" s="31">
        <f t="shared" si="30"/>
        <v>0</v>
      </c>
      <c r="J139" s="31">
        <f t="shared" si="30"/>
        <v>0</v>
      </c>
      <c r="K139" s="31">
        <f t="shared" si="30"/>
        <v>0</v>
      </c>
      <c r="L139" s="31">
        <f>SUM(L135)</f>
        <v>23055.550000000003</v>
      </c>
      <c r="M139" s="8"/>
      <c r="N139" s="8"/>
    </row>
    <row r="140" spans="1:14" ht="16.5" thickTop="1">
      <c r="A140" s="57"/>
      <c r="B140" s="57"/>
      <c r="C140" s="57"/>
      <c r="D140" s="57"/>
      <c r="E140" s="57"/>
      <c r="F140" s="20"/>
      <c r="G140" s="20"/>
      <c r="H140" s="20"/>
      <c r="I140" s="20"/>
      <c r="J140" s="20"/>
      <c r="K140" s="20"/>
      <c r="L140" s="20"/>
      <c r="M140" s="8"/>
      <c r="N140" s="8"/>
    </row>
    <row r="141" spans="1:14">
      <c r="A141" s="57"/>
      <c r="B141" s="57"/>
      <c r="C141" s="57"/>
      <c r="D141" s="57"/>
      <c r="E141" s="57"/>
      <c r="F141" s="20"/>
      <c r="G141" s="20"/>
      <c r="H141" s="20"/>
      <c r="I141" s="20"/>
      <c r="J141" s="20"/>
      <c r="K141" s="20"/>
      <c r="L141" s="20"/>
      <c r="M141" s="8"/>
      <c r="N141" s="8"/>
    </row>
    <row r="142" spans="1:14">
      <c r="A142" s="57">
        <v>42</v>
      </c>
      <c r="B142" s="57" t="s">
        <v>36</v>
      </c>
      <c r="C142" s="57" t="s">
        <v>12</v>
      </c>
      <c r="D142" s="39">
        <v>21134.73</v>
      </c>
      <c r="E142" s="39">
        <v>5.19</v>
      </c>
      <c r="F142" s="39">
        <v>0</v>
      </c>
      <c r="G142" s="20">
        <v>0</v>
      </c>
      <c r="H142" s="39">
        <v>0</v>
      </c>
      <c r="I142" s="20">
        <v>0</v>
      </c>
      <c r="J142" s="20">
        <v>0</v>
      </c>
      <c r="K142" s="20">
        <v>0</v>
      </c>
      <c r="L142" s="20">
        <f>SUM(D142:K142)</f>
        <v>21139.919999999998</v>
      </c>
      <c r="M142" s="8"/>
      <c r="N142" s="8"/>
    </row>
    <row r="143" spans="1:14" ht="16.5" thickBot="1">
      <c r="A143" s="57"/>
      <c r="B143" s="57"/>
      <c r="C143" s="57" t="s">
        <v>13</v>
      </c>
      <c r="D143" s="29">
        <v>1185.9000000000001</v>
      </c>
      <c r="E143" s="29">
        <v>0.28999999999999998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f>SUM(D143:K143)</f>
        <v>1186.19</v>
      </c>
      <c r="M143" s="8"/>
      <c r="N143" s="8"/>
    </row>
    <row r="144" spans="1:14">
      <c r="A144" s="57"/>
      <c r="B144" s="57"/>
      <c r="C144" s="57"/>
      <c r="D144" s="57"/>
      <c r="E144" s="57"/>
      <c r="F144" s="20"/>
      <c r="G144" s="20"/>
      <c r="H144" s="20"/>
      <c r="I144" s="20"/>
      <c r="J144" s="20"/>
      <c r="K144" s="20"/>
      <c r="L144" s="20"/>
      <c r="M144" s="8"/>
      <c r="N144" s="8"/>
    </row>
    <row r="145" spans="1:14" ht="16.5" thickBot="1">
      <c r="A145" s="57"/>
      <c r="B145" s="57"/>
      <c r="C145" s="57" t="s">
        <v>10</v>
      </c>
      <c r="D145" s="31">
        <f t="shared" ref="D145" si="31">SUM(D142:D143)</f>
        <v>22320.63</v>
      </c>
      <c r="E145" s="31">
        <f t="shared" ref="E145:K145" si="32">SUM(E142:E143)</f>
        <v>5.48</v>
      </c>
      <c r="F145" s="31">
        <f t="shared" si="32"/>
        <v>0</v>
      </c>
      <c r="G145" s="31">
        <f t="shared" si="32"/>
        <v>0</v>
      </c>
      <c r="H145" s="31">
        <f t="shared" si="32"/>
        <v>0</v>
      </c>
      <c r="I145" s="31">
        <f t="shared" si="32"/>
        <v>0</v>
      </c>
      <c r="J145" s="31">
        <f t="shared" si="32"/>
        <v>0</v>
      </c>
      <c r="K145" s="31">
        <f t="shared" si="32"/>
        <v>0</v>
      </c>
      <c r="L145" s="31">
        <f>SUM(L142:L143)</f>
        <v>22326.109999999997</v>
      </c>
      <c r="M145" s="8"/>
      <c r="N145" s="8"/>
    </row>
    <row r="146" spans="1:14" ht="16.5" thickTop="1">
      <c r="A146" s="57"/>
      <c r="B146" s="57"/>
      <c r="C146" s="57"/>
      <c r="D146" s="57"/>
      <c r="E146" s="57"/>
      <c r="F146" s="20"/>
      <c r="G146" s="20"/>
      <c r="H146" s="20"/>
      <c r="I146" s="20"/>
      <c r="J146" s="20"/>
      <c r="K146" s="20"/>
      <c r="L146" s="20"/>
      <c r="M146" s="8"/>
      <c r="N146" s="8"/>
    </row>
    <row r="147" spans="1:14">
      <c r="A147" s="57"/>
      <c r="B147" s="57"/>
      <c r="C147" s="57"/>
      <c r="D147" s="57"/>
      <c r="E147" s="57"/>
      <c r="F147" s="20"/>
      <c r="G147" s="20"/>
      <c r="H147" s="20"/>
      <c r="I147" s="20"/>
      <c r="J147" s="20"/>
      <c r="K147" s="20"/>
      <c r="L147" s="20"/>
      <c r="M147" s="8"/>
      <c r="N147" s="8"/>
    </row>
    <row r="148" spans="1:14">
      <c r="A148" s="57">
        <v>43</v>
      </c>
      <c r="B148" s="57" t="s">
        <v>37</v>
      </c>
      <c r="C148" s="57" t="s">
        <v>12</v>
      </c>
      <c r="D148" s="39">
        <v>31038.78</v>
      </c>
      <c r="E148" s="39">
        <v>0</v>
      </c>
      <c r="F148" s="39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f>SUM(D148:K149)</f>
        <v>31038.78</v>
      </c>
      <c r="M148" s="8"/>
      <c r="N148" s="8"/>
    </row>
    <row r="149" spans="1:14" hidden="1">
      <c r="A149" s="57"/>
      <c r="B149" s="57"/>
      <c r="C149" s="57" t="s">
        <v>35</v>
      </c>
      <c r="D149" s="20"/>
      <c r="E149" s="20"/>
      <c r="F149" s="20"/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f>SUM(F149:K149)</f>
        <v>0</v>
      </c>
      <c r="M149" s="8"/>
      <c r="N149" s="8"/>
    </row>
    <row r="150" spans="1:14" ht="16.5" thickBot="1">
      <c r="A150" s="57"/>
      <c r="B150" s="57"/>
      <c r="C150" s="57" t="s">
        <v>13</v>
      </c>
      <c r="D150" s="29">
        <v>827.7</v>
      </c>
      <c r="E150" s="29">
        <v>0</v>
      </c>
      <c r="F150" s="29">
        <v>0</v>
      </c>
      <c r="G150" s="29">
        <v>0</v>
      </c>
      <c r="H150" s="50">
        <v>0</v>
      </c>
      <c r="I150" s="29">
        <v>0</v>
      </c>
      <c r="J150" s="29">
        <v>0</v>
      </c>
      <c r="K150" s="29">
        <v>0</v>
      </c>
      <c r="L150" s="29">
        <f>SUM(D150:K150)</f>
        <v>827.7</v>
      </c>
      <c r="M150" s="8"/>
      <c r="N150" s="8"/>
    </row>
    <row r="151" spans="1:14" ht="16.5" hidden="1" thickBot="1">
      <c r="A151" s="57"/>
      <c r="B151" s="57"/>
      <c r="C151" s="57" t="s">
        <v>78</v>
      </c>
      <c r="D151" s="57"/>
      <c r="E151" s="57"/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f>SUM(F151:K151)</f>
        <v>0</v>
      </c>
      <c r="M151" s="8"/>
      <c r="N151" s="8"/>
    </row>
    <row r="152" spans="1:14">
      <c r="A152" s="57"/>
      <c r="B152" s="57"/>
      <c r="C152" s="57"/>
      <c r="D152" s="57"/>
      <c r="E152" s="57"/>
      <c r="F152" s="20"/>
      <c r="G152" s="20"/>
      <c r="H152" s="20"/>
      <c r="I152" s="20"/>
      <c r="J152" s="20"/>
      <c r="K152" s="20"/>
      <c r="L152" s="20"/>
      <c r="M152" s="8"/>
      <c r="N152" s="8"/>
    </row>
    <row r="153" spans="1:14" ht="16.5" thickBot="1">
      <c r="A153" s="57"/>
      <c r="B153" s="57"/>
      <c r="C153" s="57" t="s">
        <v>10</v>
      </c>
      <c r="D153" s="31">
        <f t="shared" ref="D153" si="33">SUM(D148:D151)</f>
        <v>31866.48</v>
      </c>
      <c r="E153" s="31">
        <f t="shared" ref="E153:K153" si="34">SUM(E148:E151)</f>
        <v>0</v>
      </c>
      <c r="F153" s="31">
        <f t="shared" si="34"/>
        <v>0</v>
      </c>
      <c r="G153" s="31">
        <f>SUM(G148:G152)</f>
        <v>0</v>
      </c>
      <c r="H153" s="31">
        <f t="shared" si="34"/>
        <v>0</v>
      </c>
      <c r="I153" s="31">
        <f t="shared" si="34"/>
        <v>0</v>
      </c>
      <c r="J153" s="31">
        <f t="shared" si="34"/>
        <v>0</v>
      </c>
      <c r="K153" s="31">
        <f t="shared" si="34"/>
        <v>0</v>
      </c>
      <c r="L153" s="31">
        <f>SUM(L148:L150)</f>
        <v>31866.48</v>
      </c>
      <c r="M153" s="8"/>
      <c r="N153" s="8"/>
    </row>
    <row r="154" spans="1:14" ht="16.5" thickTop="1">
      <c r="A154" s="57"/>
      <c r="B154" s="57"/>
      <c r="C154" s="57"/>
      <c r="D154" s="57"/>
      <c r="E154" s="57"/>
      <c r="F154" s="20"/>
      <c r="G154" s="20"/>
      <c r="H154" s="20"/>
      <c r="I154" s="20"/>
      <c r="J154" s="20"/>
      <c r="K154" s="20"/>
      <c r="L154" s="20"/>
      <c r="M154" s="8"/>
      <c r="N154" s="8"/>
    </row>
    <row r="155" spans="1:14">
      <c r="A155" s="57"/>
      <c r="B155" s="57"/>
      <c r="C155" s="57"/>
      <c r="D155" s="57"/>
      <c r="E155" s="57"/>
      <c r="F155" s="20"/>
      <c r="G155" s="20"/>
      <c r="H155" s="20"/>
      <c r="I155" s="20"/>
      <c r="J155" s="20"/>
      <c r="K155" s="20"/>
      <c r="L155" s="20"/>
      <c r="M155" s="8"/>
      <c r="N155" s="8"/>
    </row>
    <row r="156" spans="1:14" ht="16.5" thickBot="1">
      <c r="A156" s="57">
        <v>44</v>
      </c>
      <c r="B156" s="57" t="s">
        <v>38</v>
      </c>
      <c r="C156" s="57" t="s">
        <v>12</v>
      </c>
      <c r="D156" s="29">
        <v>31024.9</v>
      </c>
      <c r="E156" s="29">
        <v>431.01</v>
      </c>
      <c r="F156" s="29">
        <v>94.65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f>SUM(D156:K156)</f>
        <v>31550.560000000001</v>
      </c>
      <c r="M156" s="8"/>
      <c r="N156" s="8"/>
    </row>
    <row r="157" spans="1:14">
      <c r="A157" s="57"/>
      <c r="B157" s="57"/>
      <c r="C157" s="57"/>
      <c r="D157" s="57"/>
      <c r="E157" s="57"/>
      <c r="F157" s="20"/>
      <c r="G157" s="20"/>
      <c r="H157" s="20"/>
      <c r="I157" s="20"/>
      <c r="J157" s="20"/>
      <c r="K157" s="20"/>
      <c r="L157" s="20"/>
      <c r="M157" s="8"/>
      <c r="N157" s="8"/>
    </row>
    <row r="158" spans="1:14" ht="16.5" thickBot="1">
      <c r="A158" s="57"/>
      <c r="B158" s="57"/>
      <c r="C158" s="57" t="s">
        <v>10</v>
      </c>
      <c r="D158" s="31">
        <f t="shared" ref="D158" si="35">SUM(D156:D157)</f>
        <v>31024.9</v>
      </c>
      <c r="E158" s="31">
        <f t="shared" ref="E158:K158" si="36">SUM(E156:E157)</f>
        <v>431.01</v>
      </c>
      <c r="F158" s="31">
        <f t="shared" si="36"/>
        <v>94.65</v>
      </c>
      <c r="G158" s="31">
        <f t="shared" si="36"/>
        <v>0</v>
      </c>
      <c r="H158" s="31">
        <f t="shared" si="36"/>
        <v>0</v>
      </c>
      <c r="I158" s="31">
        <f t="shared" si="36"/>
        <v>0</v>
      </c>
      <c r="J158" s="31">
        <f t="shared" si="36"/>
        <v>0</v>
      </c>
      <c r="K158" s="31">
        <f t="shared" si="36"/>
        <v>0</v>
      </c>
      <c r="L158" s="31">
        <f>SUM(L156)</f>
        <v>31550.560000000001</v>
      </c>
      <c r="M158" s="8"/>
      <c r="N158" s="8"/>
    </row>
    <row r="159" spans="1:14" ht="16.5" thickTop="1">
      <c r="A159" s="57"/>
      <c r="B159" s="57"/>
      <c r="C159" s="57"/>
      <c r="D159" s="57"/>
      <c r="E159" s="57"/>
      <c r="F159" s="20"/>
      <c r="G159" s="20"/>
      <c r="H159" s="20"/>
      <c r="I159" s="20" t="s">
        <v>70</v>
      </c>
      <c r="J159" s="20" t="s">
        <v>70</v>
      </c>
      <c r="K159" s="20" t="s">
        <v>70</v>
      </c>
      <c r="L159" s="20"/>
      <c r="M159" s="8"/>
      <c r="N159" s="8"/>
    </row>
    <row r="160" spans="1:14">
      <c r="A160" s="57"/>
      <c r="B160" s="57"/>
      <c r="C160" s="57"/>
      <c r="D160" s="57"/>
      <c r="E160" s="57"/>
      <c r="F160" s="20"/>
      <c r="G160" s="20"/>
      <c r="H160" s="20"/>
      <c r="I160" s="20"/>
      <c r="J160" s="20"/>
      <c r="K160" s="20"/>
      <c r="L160" s="20"/>
      <c r="M160" s="8"/>
      <c r="N160" s="8"/>
    </row>
    <row r="161" spans="1:14">
      <c r="A161" s="57">
        <v>45</v>
      </c>
      <c r="B161" s="57" t="s">
        <v>39</v>
      </c>
      <c r="C161" s="57" t="s">
        <v>12</v>
      </c>
      <c r="D161" s="20">
        <v>7999.54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f>SUM(D161:K161)</f>
        <v>7999.54</v>
      </c>
      <c r="M161" s="8"/>
      <c r="N161" s="8"/>
    </row>
    <row r="162" spans="1:14" ht="16.5" thickBot="1">
      <c r="A162" s="57"/>
      <c r="B162" s="57"/>
      <c r="C162" s="57" t="s">
        <v>116</v>
      </c>
      <c r="D162" s="29">
        <v>7508.69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f>SUM(D162:K162)</f>
        <v>7508.69</v>
      </c>
      <c r="M162" s="8"/>
      <c r="N162" s="8"/>
    </row>
    <row r="163" spans="1:14">
      <c r="A163" s="57"/>
      <c r="B163" s="57"/>
      <c r="C163" s="57"/>
      <c r="D163" s="57"/>
      <c r="E163" s="57"/>
      <c r="F163" s="20"/>
      <c r="G163" s="20"/>
      <c r="H163" s="20"/>
      <c r="I163" s="20"/>
      <c r="J163" s="20"/>
      <c r="K163" s="20"/>
      <c r="L163" s="20"/>
      <c r="M163" s="8"/>
      <c r="N163" s="8"/>
    </row>
    <row r="164" spans="1:14" ht="16.5" thickBot="1">
      <c r="A164" s="57"/>
      <c r="B164" s="57"/>
      <c r="C164" s="57" t="s">
        <v>10</v>
      </c>
      <c r="D164" s="31">
        <f>SUM(D161:D162)</f>
        <v>15508.23</v>
      </c>
      <c r="E164" s="31">
        <f>SUM(E161:E162)</f>
        <v>0</v>
      </c>
      <c r="F164" s="31">
        <f t="shared" ref="F164:K164" si="37">SUM(F161:F163)</f>
        <v>0</v>
      </c>
      <c r="G164" s="31">
        <f t="shared" si="37"/>
        <v>0</v>
      </c>
      <c r="H164" s="31">
        <f t="shared" si="37"/>
        <v>0</v>
      </c>
      <c r="I164" s="31">
        <f t="shared" si="37"/>
        <v>0</v>
      </c>
      <c r="J164" s="31">
        <f t="shared" si="37"/>
        <v>0</v>
      </c>
      <c r="K164" s="31">
        <f t="shared" si="37"/>
        <v>0</v>
      </c>
      <c r="L164" s="31">
        <f>SUM(L161:L162)</f>
        <v>15508.23</v>
      </c>
      <c r="M164" s="8"/>
      <c r="N164" s="8"/>
    </row>
    <row r="165" spans="1:14" ht="16.5" thickTop="1">
      <c r="A165" s="57"/>
      <c r="B165" s="57"/>
      <c r="C165" s="57"/>
      <c r="D165" s="57"/>
      <c r="E165" s="57"/>
      <c r="F165" s="20"/>
      <c r="G165" s="20"/>
      <c r="H165" s="20"/>
      <c r="I165" s="20"/>
      <c r="J165" s="20"/>
      <c r="K165" s="20"/>
      <c r="L165" s="20"/>
      <c r="M165" s="8"/>
      <c r="N165" s="8"/>
    </row>
    <row r="166" spans="1:14">
      <c r="A166" s="57"/>
      <c r="B166" s="57"/>
      <c r="C166" s="57"/>
      <c r="D166" s="57"/>
      <c r="E166" s="57"/>
      <c r="F166" s="20"/>
      <c r="G166" s="20"/>
      <c r="H166" s="20"/>
      <c r="I166" s="20"/>
      <c r="J166" s="20"/>
      <c r="K166" s="20"/>
      <c r="L166" s="20"/>
      <c r="M166" s="8"/>
      <c r="N166" s="8"/>
    </row>
    <row r="167" spans="1:14" ht="16.5" thickBot="1">
      <c r="A167" s="57">
        <v>46</v>
      </c>
      <c r="B167" s="57" t="s">
        <v>40</v>
      </c>
      <c r="C167" s="57" t="s">
        <v>12</v>
      </c>
      <c r="D167" s="29">
        <v>29481.16</v>
      </c>
      <c r="E167" s="29">
        <v>204.85</v>
      </c>
      <c r="F167" s="29">
        <v>138.82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f>SUM(D167:K167)</f>
        <v>29824.829999999998</v>
      </c>
      <c r="M167" s="8"/>
      <c r="N167" s="8"/>
    </row>
    <row r="168" spans="1:14">
      <c r="A168" s="57"/>
      <c r="B168" s="57"/>
      <c r="C168" s="57"/>
      <c r="D168" s="57"/>
      <c r="E168" s="57"/>
      <c r="F168" s="20"/>
      <c r="G168" s="20"/>
      <c r="H168" s="20"/>
      <c r="I168" s="20"/>
      <c r="J168" s="20"/>
      <c r="K168" s="20"/>
      <c r="L168" s="20"/>
      <c r="M168" s="8"/>
      <c r="N168" s="8"/>
    </row>
    <row r="169" spans="1:14" ht="16.5" thickBot="1">
      <c r="A169" s="57"/>
      <c r="B169" s="57"/>
      <c r="C169" s="57" t="s">
        <v>10</v>
      </c>
      <c r="D169" s="31">
        <f>SUM(D167)</f>
        <v>29481.16</v>
      </c>
      <c r="E169" s="31">
        <f>SUM(E167)</f>
        <v>204.85</v>
      </c>
      <c r="F169" s="31">
        <f t="shared" ref="F169:K169" si="38">SUM(F167:F168)</f>
        <v>138.82</v>
      </c>
      <c r="G169" s="31">
        <f t="shared" si="38"/>
        <v>0</v>
      </c>
      <c r="H169" s="31">
        <f t="shared" si="38"/>
        <v>0</v>
      </c>
      <c r="I169" s="31">
        <f t="shared" si="38"/>
        <v>0</v>
      </c>
      <c r="J169" s="31">
        <f t="shared" si="38"/>
        <v>0</v>
      </c>
      <c r="K169" s="31">
        <f t="shared" si="38"/>
        <v>0</v>
      </c>
      <c r="L169" s="31">
        <f>SUM(L167)</f>
        <v>29824.829999999998</v>
      </c>
      <c r="M169" s="8"/>
      <c r="N169" s="8"/>
    </row>
    <row r="170" spans="1:14" ht="16.5" thickTop="1">
      <c r="A170" s="57"/>
      <c r="B170" s="57"/>
      <c r="C170" s="57"/>
      <c r="D170" s="57"/>
      <c r="E170" s="57"/>
      <c r="F170" s="20"/>
      <c r="G170" s="20"/>
      <c r="H170" s="20"/>
      <c r="I170" s="20"/>
      <c r="J170" s="20"/>
      <c r="K170" s="20"/>
      <c r="L170" s="20"/>
      <c r="M170" s="8"/>
      <c r="N170" s="8"/>
    </row>
    <row r="171" spans="1:14">
      <c r="A171" s="57"/>
      <c r="B171" s="57"/>
      <c r="C171" s="57"/>
      <c r="D171" s="57"/>
      <c r="E171" s="57"/>
      <c r="F171" s="20"/>
      <c r="G171" s="20"/>
      <c r="H171" s="20"/>
      <c r="I171" s="20"/>
      <c r="J171" s="20"/>
      <c r="K171" s="20"/>
      <c r="L171" s="20"/>
      <c r="M171" s="8"/>
      <c r="N171" s="8"/>
    </row>
    <row r="172" spans="1:14" ht="16.5" thickBot="1">
      <c r="A172" s="57">
        <v>47</v>
      </c>
      <c r="B172" s="57" t="s">
        <v>41</v>
      </c>
      <c r="C172" s="57" t="s">
        <v>12</v>
      </c>
      <c r="D172" s="29">
        <v>13106.48</v>
      </c>
      <c r="E172" s="29">
        <v>193.23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f>SUM(D172:K172)</f>
        <v>13299.71</v>
      </c>
      <c r="M172" s="8"/>
      <c r="N172" s="8"/>
    </row>
    <row r="173" spans="1:14">
      <c r="A173" s="57"/>
      <c r="B173" s="57"/>
      <c r="C173" s="57"/>
      <c r="D173" s="57"/>
      <c r="E173" s="57"/>
      <c r="F173" s="20"/>
      <c r="G173" s="20"/>
      <c r="H173" s="20"/>
      <c r="I173" s="20"/>
      <c r="J173" s="20"/>
      <c r="K173" s="20"/>
      <c r="L173" s="20"/>
      <c r="M173" s="8"/>
      <c r="N173" s="8"/>
    </row>
    <row r="174" spans="1:14" ht="16.5" thickBot="1">
      <c r="A174" s="57"/>
      <c r="B174" s="57"/>
      <c r="C174" s="57" t="s">
        <v>10</v>
      </c>
      <c r="D174" s="31">
        <f t="shared" ref="D174" si="39">SUM(D172:D173)</f>
        <v>13106.48</v>
      </c>
      <c r="E174" s="31">
        <f t="shared" ref="E174:K174" si="40">SUM(E172:E173)</f>
        <v>193.23</v>
      </c>
      <c r="F174" s="31">
        <f t="shared" si="40"/>
        <v>0</v>
      </c>
      <c r="G174" s="31">
        <f t="shared" si="40"/>
        <v>0</v>
      </c>
      <c r="H174" s="31">
        <f t="shared" si="40"/>
        <v>0</v>
      </c>
      <c r="I174" s="31">
        <f t="shared" si="40"/>
        <v>0</v>
      </c>
      <c r="J174" s="31">
        <f t="shared" si="40"/>
        <v>0</v>
      </c>
      <c r="K174" s="31">
        <f t="shared" si="40"/>
        <v>0</v>
      </c>
      <c r="L174" s="31">
        <f>SUM(L172)</f>
        <v>13299.71</v>
      </c>
      <c r="M174" s="8"/>
      <c r="N174" s="8"/>
    </row>
    <row r="175" spans="1:14" ht="16.5" thickTop="1">
      <c r="A175" s="57"/>
      <c r="B175" s="57"/>
      <c r="C175" s="57"/>
      <c r="D175" s="57"/>
      <c r="E175" s="57"/>
      <c r="F175" s="20"/>
      <c r="G175" s="20"/>
      <c r="H175" s="20"/>
      <c r="I175" s="20"/>
      <c r="J175" s="20"/>
      <c r="K175" s="20"/>
      <c r="L175" s="20"/>
      <c r="M175" s="8"/>
      <c r="N175" s="8"/>
    </row>
    <row r="176" spans="1:14">
      <c r="A176" s="57"/>
      <c r="B176" s="57"/>
      <c r="C176" s="57"/>
      <c r="D176" s="57"/>
      <c r="E176" s="57"/>
      <c r="F176" s="20"/>
      <c r="G176" s="20"/>
      <c r="H176" s="20"/>
      <c r="I176" s="20"/>
      <c r="J176" s="20"/>
      <c r="K176" s="20"/>
      <c r="L176" s="20"/>
      <c r="M176" s="8"/>
      <c r="N176" s="8"/>
    </row>
    <row r="177" spans="1:14" ht="16.5" thickBot="1">
      <c r="A177" s="57">
        <v>48</v>
      </c>
      <c r="B177" s="57" t="s">
        <v>42</v>
      </c>
      <c r="C177" s="57" t="s">
        <v>12</v>
      </c>
      <c r="D177" s="29">
        <v>18041.66</v>
      </c>
      <c r="E177" s="29">
        <v>306.95</v>
      </c>
      <c r="F177" s="29">
        <v>49.92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f>SUM(D177:K177)</f>
        <v>18398.53</v>
      </c>
      <c r="M177" s="8"/>
      <c r="N177" s="8"/>
    </row>
    <row r="178" spans="1:14">
      <c r="A178" s="57"/>
      <c r="B178" s="57"/>
      <c r="C178" s="57"/>
      <c r="D178" s="57"/>
      <c r="E178" s="57"/>
      <c r="F178" s="20"/>
      <c r="G178" s="20"/>
      <c r="H178" s="20"/>
      <c r="I178" s="20"/>
      <c r="J178" s="20"/>
      <c r="K178" s="20"/>
      <c r="L178" s="20"/>
      <c r="M178" s="8"/>
      <c r="N178" s="8"/>
    </row>
    <row r="179" spans="1:14" ht="16.5" thickBot="1">
      <c r="A179" s="57"/>
      <c r="B179" s="57"/>
      <c r="C179" s="57" t="s">
        <v>10</v>
      </c>
      <c r="D179" s="31">
        <f t="shared" ref="D179" si="41">SUM(D177:D178)</f>
        <v>18041.66</v>
      </c>
      <c r="E179" s="31">
        <f t="shared" ref="E179:K179" si="42">SUM(E177:E178)</f>
        <v>306.95</v>
      </c>
      <c r="F179" s="31">
        <f t="shared" si="42"/>
        <v>49.92</v>
      </c>
      <c r="G179" s="31">
        <f t="shared" si="42"/>
        <v>0</v>
      </c>
      <c r="H179" s="31">
        <f t="shared" si="42"/>
        <v>0</v>
      </c>
      <c r="I179" s="31">
        <f t="shared" si="42"/>
        <v>0</v>
      </c>
      <c r="J179" s="31">
        <f t="shared" si="42"/>
        <v>0</v>
      </c>
      <c r="K179" s="31">
        <f t="shared" si="42"/>
        <v>0</v>
      </c>
      <c r="L179" s="31">
        <f>SUM(L177)</f>
        <v>18398.53</v>
      </c>
      <c r="M179" s="8"/>
      <c r="N179" s="8"/>
    </row>
    <row r="180" spans="1:14" ht="16.5" thickTop="1">
      <c r="A180" s="57"/>
      <c r="B180" s="57"/>
      <c r="C180" s="57"/>
      <c r="D180" s="57"/>
      <c r="E180" s="57"/>
      <c r="F180" s="20"/>
      <c r="G180" s="20"/>
      <c r="H180" s="20"/>
      <c r="I180" s="20"/>
      <c r="J180" s="20"/>
      <c r="K180" s="20"/>
      <c r="L180" s="20"/>
      <c r="M180" s="8"/>
      <c r="N180" s="8"/>
    </row>
    <row r="181" spans="1:14">
      <c r="A181" s="57"/>
      <c r="B181" s="57"/>
      <c r="C181" s="57"/>
      <c r="D181" s="57"/>
      <c r="E181" s="57"/>
      <c r="F181" s="20"/>
      <c r="G181" s="20"/>
      <c r="H181" s="20"/>
      <c r="I181" s="20"/>
      <c r="J181" s="20"/>
      <c r="K181" s="20"/>
      <c r="L181" s="20"/>
      <c r="M181" s="8"/>
      <c r="N181" s="8"/>
    </row>
    <row r="182" spans="1:14" ht="16.5" thickBot="1">
      <c r="A182" s="57">
        <v>49</v>
      </c>
      <c r="B182" s="57" t="s">
        <v>43</v>
      </c>
      <c r="C182" s="57" t="s">
        <v>12</v>
      </c>
      <c r="D182" s="29">
        <v>28241.73</v>
      </c>
      <c r="E182" s="29">
        <v>1717.81</v>
      </c>
      <c r="F182" s="29">
        <v>54.11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9">
        <f>SUM(D182:K182)</f>
        <v>30013.65</v>
      </c>
      <c r="M182" s="8"/>
      <c r="N182" s="8"/>
    </row>
    <row r="183" spans="1:14">
      <c r="A183" s="57"/>
      <c r="B183" s="57"/>
      <c r="C183" s="57"/>
      <c r="D183" s="57"/>
      <c r="E183" s="57"/>
      <c r="F183" s="20"/>
      <c r="G183" s="20"/>
      <c r="H183" s="20"/>
      <c r="I183" s="20"/>
      <c r="J183" s="20"/>
      <c r="K183" s="20"/>
      <c r="L183" s="20"/>
      <c r="M183" s="8"/>
      <c r="N183" s="8"/>
    </row>
    <row r="184" spans="1:14" ht="16.5" thickBot="1">
      <c r="A184" s="57"/>
      <c r="B184" s="57"/>
      <c r="C184" s="57" t="s">
        <v>10</v>
      </c>
      <c r="D184" s="31">
        <f t="shared" ref="D184" si="43">SUM(D182:D183)</f>
        <v>28241.73</v>
      </c>
      <c r="E184" s="31">
        <f t="shared" ref="E184:K184" si="44">SUM(E182:E183)</f>
        <v>1717.81</v>
      </c>
      <c r="F184" s="31">
        <f t="shared" si="44"/>
        <v>54.11</v>
      </c>
      <c r="G184" s="31">
        <f t="shared" si="44"/>
        <v>0</v>
      </c>
      <c r="H184" s="31">
        <f t="shared" si="44"/>
        <v>0</v>
      </c>
      <c r="I184" s="31">
        <f t="shared" si="44"/>
        <v>0</v>
      </c>
      <c r="J184" s="31">
        <f t="shared" si="44"/>
        <v>0</v>
      </c>
      <c r="K184" s="31">
        <f t="shared" si="44"/>
        <v>0</v>
      </c>
      <c r="L184" s="31">
        <f>SUM(L182)</f>
        <v>30013.65</v>
      </c>
      <c r="M184" s="8"/>
      <c r="N184" s="8"/>
    </row>
    <row r="185" spans="1:14" ht="16.5" thickTop="1">
      <c r="A185" s="57"/>
      <c r="B185" s="57"/>
      <c r="C185" s="57"/>
      <c r="D185" s="57"/>
      <c r="E185" s="57"/>
      <c r="F185" s="20"/>
      <c r="G185" s="20"/>
      <c r="H185" s="20"/>
      <c r="I185" s="20"/>
      <c r="J185" s="20"/>
      <c r="K185" s="20"/>
      <c r="L185" s="20"/>
      <c r="M185" s="8"/>
      <c r="N185" s="8"/>
    </row>
    <row r="186" spans="1:14">
      <c r="A186" s="57"/>
      <c r="B186" s="57"/>
      <c r="C186" s="57"/>
      <c r="D186" s="57"/>
      <c r="E186" s="57"/>
      <c r="F186" s="20"/>
      <c r="G186" s="20"/>
      <c r="H186" s="20"/>
      <c r="I186" s="20"/>
      <c r="J186" s="20"/>
      <c r="K186" s="20"/>
      <c r="L186" s="20"/>
      <c r="M186" s="8"/>
      <c r="N186" s="8"/>
    </row>
    <row r="187" spans="1:14">
      <c r="A187" s="57">
        <v>50</v>
      </c>
      <c r="B187" s="57" t="s">
        <v>44</v>
      </c>
      <c r="C187" s="57" t="s">
        <v>12</v>
      </c>
      <c r="D187" s="20">
        <v>8597.41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f>SUM(D187:K187)</f>
        <v>8597.41</v>
      </c>
      <c r="M187" s="8"/>
      <c r="N187" s="8"/>
    </row>
    <row r="188" spans="1:14" ht="16.5" thickBot="1">
      <c r="A188" s="57"/>
      <c r="B188" s="57"/>
      <c r="C188" s="57" t="s">
        <v>13</v>
      </c>
      <c r="D188" s="29">
        <v>908.33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f>SUM(D188:K188)</f>
        <v>908.33</v>
      </c>
      <c r="M188" s="8"/>
      <c r="N188" s="8"/>
    </row>
    <row r="189" spans="1:14">
      <c r="A189" s="57"/>
      <c r="B189" s="57"/>
      <c r="C189" s="57"/>
      <c r="D189" s="57"/>
      <c r="E189" s="57"/>
      <c r="F189" s="20"/>
      <c r="G189" s="20"/>
      <c r="H189" s="20"/>
      <c r="I189" s="20"/>
      <c r="J189" s="20"/>
      <c r="K189" s="20"/>
      <c r="L189" s="20"/>
      <c r="M189" s="8"/>
      <c r="N189" s="8"/>
    </row>
    <row r="190" spans="1:14" ht="16.5" thickBot="1">
      <c r="A190" s="57"/>
      <c r="B190" s="57"/>
      <c r="C190" s="57" t="s">
        <v>10</v>
      </c>
      <c r="D190" s="31">
        <f t="shared" ref="D190" si="45">SUM(D187:D188)</f>
        <v>9505.74</v>
      </c>
      <c r="E190" s="31">
        <f t="shared" ref="E190:K190" si="46">SUM(E187:E188)</f>
        <v>0</v>
      </c>
      <c r="F190" s="31">
        <f t="shared" si="46"/>
        <v>0</v>
      </c>
      <c r="G190" s="31">
        <f t="shared" si="46"/>
        <v>0</v>
      </c>
      <c r="H190" s="31">
        <f t="shared" si="46"/>
        <v>0</v>
      </c>
      <c r="I190" s="31">
        <f t="shared" si="46"/>
        <v>0</v>
      </c>
      <c r="J190" s="31">
        <f t="shared" si="46"/>
        <v>0</v>
      </c>
      <c r="K190" s="31">
        <f t="shared" si="46"/>
        <v>0</v>
      </c>
      <c r="L190" s="31">
        <f>SUM(L187:L188)</f>
        <v>9505.74</v>
      </c>
      <c r="M190" s="8"/>
      <c r="N190" s="8"/>
    </row>
    <row r="191" spans="1:14" ht="16.5" thickTop="1">
      <c r="A191" s="57"/>
      <c r="B191" s="57"/>
      <c r="C191" s="57"/>
      <c r="D191" s="57"/>
      <c r="E191" s="57"/>
      <c r="F191" s="20"/>
      <c r="G191" s="20"/>
      <c r="H191" s="20"/>
      <c r="I191" s="20"/>
      <c r="J191" s="20"/>
      <c r="K191" s="20"/>
      <c r="L191" s="20"/>
      <c r="M191" s="8"/>
      <c r="N191" s="8"/>
    </row>
    <row r="192" spans="1:14">
      <c r="A192" s="57"/>
      <c r="B192" s="57"/>
      <c r="C192" s="57"/>
      <c r="D192" s="57"/>
      <c r="E192" s="57"/>
      <c r="F192" s="20"/>
      <c r="G192" s="20"/>
      <c r="H192" s="20"/>
      <c r="I192" s="20"/>
      <c r="J192" s="20"/>
      <c r="K192" s="20"/>
      <c r="L192" s="20"/>
      <c r="M192" s="8"/>
      <c r="N192" s="8"/>
    </row>
    <row r="193" spans="1:14" ht="16.5" thickBot="1">
      <c r="A193" s="57">
        <v>51</v>
      </c>
      <c r="B193" s="57" t="s">
        <v>45</v>
      </c>
      <c r="C193" s="57" t="s">
        <v>12</v>
      </c>
      <c r="D193" s="29">
        <v>17932.86</v>
      </c>
      <c r="E193" s="29">
        <v>397.8</v>
      </c>
      <c r="F193" s="29">
        <v>139.22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>
        <f>SUM(D193:K193)</f>
        <v>18469.88</v>
      </c>
      <c r="M193" s="8"/>
      <c r="N193" s="8"/>
    </row>
    <row r="194" spans="1:14" hidden="1">
      <c r="A194" s="57"/>
      <c r="B194" s="57"/>
      <c r="C194" s="57" t="s">
        <v>13</v>
      </c>
      <c r="D194" s="57"/>
      <c r="E194" s="57"/>
      <c r="F194" s="20"/>
      <c r="G194" s="20"/>
      <c r="H194" s="20"/>
      <c r="I194" s="20"/>
      <c r="J194" s="20"/>
      <c r="K194" s="20"/>
      <c r="L194" s="20">
        <f>SUM(F194:K194)</f>
        <v>0</v>
      </c>
      <c r="M194" s="8"/>
      <c r="N194" s="8"/>
    </row>
    <row r="195" spans="1:14" ht="16.5" hidden="1" thickBot="1">
      <c r="A195" s="57"/>
      <c r="B195" s="57"/>
      <c r="C195" s="57" t="s">
        <v>46</v>
      </c>
      <c r="D195" s="57"/>
      <c r="E195" s="57"/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f>SUM(F195:K195)</f>
        <v>0</v>
      </c>
      <c r="M195" s="8"/>
      <c r="N195" s="8"/>
    </row>
    <row r="196" spans="1:14">
      <c r="A196" s="57"/>
      <c r="B196" s="57"/>
      <c r="C196" s="57"/>
      <c r="D196" s="57"/>
      <c r="E196" s="57"/>
      <c r="F196" s="20"/>
      <c r="G196" s="20"/>
      <c r="H196" s="20"/>
      <c r="I196" s="20"/>
      <c r="J196" s="20"/>
      <c r="K196" s="20"/>
      <c r="L196" s="20"/>
      <c r="M196" s="8"/>
      <c r="N196" s="8"/>
    </row>
    <row r="197" spans="1:14" ht="16.5" thickBot="1">
      <c r="A197" s="57"/>
      <c r="B197" s="57"/>
      <c r="C197" s="57" t="s">
        <v>10</v>
      </c>
      <c r="D197" s="31">
        <f t="shared" ref="D197" si="47">SUM(D193:D195)</f>
        <v>17932.86</v>
      </c>
      <c r="E197" s="31">
        <f t="shared" ref="E197:K197" si="48">SUM(E193:E195)</f>
        <v>397.8</v>
      </c>
      <c r="F197" s="31">
        <f t="shared" si="48"/>
        <v>139.22</v>
      </c>
      <c r="G197" s="31">
        <f t="shared" si="48"/>
        <v>0</v>
      </c>
      <c r="H197" s="31">
        <f t="shared" si="48"/>
        <v>0</v>
      </c>
      <c r="I197" s="31">
        <f t="shared" si="48"/>
        <v>0</v>
      </c>
      <c r="J197" s="31">
        <f t="shared" si="48"/>
        <v>0</v>
      </c>
      <c r="K197" s="31">
        <f t="shared" si="48"/>
        <v>0</v>
      </c>
      <c r="L197" s="31">
        <f>SUM(L193)</f>
        <v>18469.88</v>
      </c>
      <c r="M197" s="8"/>
      <c r="N197" s="8"/>
    </row>
    <row r="198" spans="1:14" ht="16.5" thickTop="1">
      <c r="A198" s="57"/>
      <c r="B198" s="57"/>
      <c r="C198" s="57"/>
      <c r="D198" s="57"/>
      <c r="E198" s="57"/>
      <c r="F198" s="20"/>
      <c r="G198" s="20"/>
      <c r="H198" s="20"/>
      <c r="I198" s="20"/>
      <c r="J198" s="20"/>
      <c r="K198" s="20"/>
      <c r="L198" s="20"/>
      <c r="M198" s="8"/>
      <c r="N198" s="8"/>
    </row>
    <row r="199" spans="1:14">
      <c r="A199" s="57"/>
      <c r="B199" s="57"/>
      <c r="C199" s="57"/>
      <c r="D199" s="57"/>
      <c r="E199" s="57"/>
      <c r="F199" s="20"/>
      <c r="G199" s="20"/>
      <c r="H199" s="20"/>
      <c r="I199" s="20"/>
      <c r="J199" s="20"/>
      <c r="K199" s="20"/>
      <c r="L199" s="20"/>
      <c r="M199" s="8"/>
      <c r="N199" s="8"/>
    </row>
    <row r="200" spans="1:14">
      <c r="A200" s="57">
        <v>52</v>
      </c>
      <c r="B200" s="57" t="s">
        <v>47</v>
      </c>
      <c r="C200" s="57" t="s">
        <v>12</v>
      </c>
      <c r="D200" s="25">
        <v>18037.099999999999</v>
      </c>
      <c r="E200" s="25">
        <v>253.2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f>SUM(D200:K200)</f>
        <v>18290.3</v>
      </c>
      <c r="M200" s="8"/>
      <c r="N200" s="8"/>
    </row>
    <row r="201" spans="1:14" ht="16.5" hidden="1" thickBot="1">
      <c r="A201" s="57"/>
      <c r="B201" s="57"/>
      <c r="C201" s="57" t="s">
        <v>13</v>
      </c>
      <c r="D201" s="57"/>
      <c r="E201" s="57"/>
      <c r="F201" s="29"/>
      <c r="G201" s="29"/>
      <c r="H201" s="29"/>
      <c r="I201" s="29"/>
      <c r="J201" s="29"/>
      <c r="K201" s="29"/>
      <c r="L201" s="29">
        <v>0</v>
      </c>
      <c r="M201" s="8"/>
      <c r="N201" s="8"/>
    </row>
    <row r="202" spans="1:14">
      <c r="A202" s="57"/>
      <c r="B202" s="57"/>
      <c r="C202" s="57"/>
      <c r="D202" s="57"/>
      <c r="E202" s="57"/>
      <c r="F202" s="20"/>
      <c r="G202" s="20"/>
      <c r="H202" s="20"/>
      <c r="I202" s="20"/>
      <c r="J202" s="20"/>
      <c r="K202" s="20"/>
      <c r="L202" s="20"/>
      <c r="M202" s="8"/>
      <c r="N202" s="8"/>
    </row>
    <row r="203" spans="1:14" ht="16.5" thickBot="1">
      <c r="A203" s="57"/>
      <c r="B203" s="57"/>
      <c r="C203" s="57" t="s">
        <v>10</v>
      </c>
      <c r="D203" s="31">
        <f t="shared" ref="D203" si="49">SUM(D200:D201)</f>
        <v>18037.099999999999</v>
      </c>
      <c r="E203" s="31">
        <f t="shared" ref="E203:K203" si="50">SUM(E200:E201)</f>
        <v>253.2</v>
      </c>
      <c r="F203" s="31">
        <f t="shared" si="50"/>
        <v>0</v>
      </c>
      <c r="G203" s="31">
        <f t="shared" si="50"/>
        <v>0</v>
      </c>
      <c r="H203" s="31">
        <f t="shared" si="50"/>
        <v>0</v>
      </c>
      <c r="I203" s="31">
        <f t="shared" si="50"/>
        <v>0</v>
      </c>
      <c r="J203" s="31">
        <f t="shared" si="50"/>
        <v>0</v>
      </c>
      <c r="K203" s="31">
        <f t="shared" si="50"/>
        <v>0</v>
      </c>
      <c r="L203" s="31">
        <f>SUM(L200)</f>
        <v>18290.3</v>
      </c>
      <c r="M203" s="8"/>
      <c r="N203" s="8"/>
    </row>
    <row r="204" spans="1:14" ht="16.5" thickTop="1">
      <c r="A204" s="57"/>
      <c r="B204" s="57"/>
      <c r="C204" s="57"/>
      <c r="D204" s="57"/>
      <c r="E204" s="57"/>
      <c r="F204" s="20"/>
      <c r="G204" s="20"/>
      <c r="H204" s="20"/>
      <c r="I204" s="20"/>
      <c r="J204" s="20"/>
      <c r="K204" s="20"/>
      <c r="L204" s="20"/>
      <c r="M204" s="8"/>
      <c r="N204" s="8"/>
    </row>
    <row r="205" spans="1:14">
      <c r="A205" s="57"/>
      <c r="B205" s="57"/>
      <c r="C205" s="57"/>
      <c r="D205" s="57"/>
      <c r="E205" s="57"/>
      <c r="F205" s="20"/>
      <c r="G205" s="20"/>
      <c r="H205" s="20"/>
      <c r="I205" s="20"/>
      <c r="J205" s="20"/>
      <c r="K205" s="20"/>
      <c r="L205" s="20"/>
      <c r="M205" s="8"/>
      <c r="N205" s="8"/>
    </row>
    <row r="206" spans="1:14" ht="16.5" thickBot="1">
      <c r="A206" s="57">
        <v>53</v>
      </c>
      <c r="B206" s="57" t="s">
        <v>48</v>
      </c>
      <c r="C206" s="57" t="s">
        <v>12</v>
      </c>
      <c r="D206" s="29">
        <v>57520.43</v>
      </c>
      <c r="E206" s="29">
        <v>261.16000000000003</v>
      </c>
      <c r="F206" s="29">
        <v>0</v>
      </c>
      <c r="G206" s="29">
        <v>0</v>
      </c>
      <c r="H206" s="29">
        <v>0</v>
      </c>
      <c r="I206" s="29">
        <v>0</v>
      </c>
      <c r="J206" s="29">
        <v>0</v>
      </c>
      <c r="K206" s="29">
        <v>0</v>
      </c>
      <c r="L206" s="29">
        <f>SUM(D206:K206)</f>
        <v>57781.590000000004</v>
      </c>
      <c r="M206" s="8"/>
      <c r="N206" s="8"/>
    </row>
    <row r="207" spans="1:14" hidden="1">
      <c r="A207" s="57"/>
      <c r="B207" s="57"/>
      <c r="C207" s="57" t="s">
        <v>35</v>
      </c>
      <c r="D207" s="57"/>
      <c r="E207" s="57"/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20">
        <f>SUM(F207:K207)</f>
        <v>0</v>
      </c>
      <c r="M207" s="8"/>
      <c r="N207" s="8"/>
    </row>
    <row r="208" spans="1:14" hidden="1">
      <c r="A208" s="57"/>
      <c r="B208" s="57"/>
      <c r="C208" s="57" t="s">
        <v>97</v>
      </c>
      <c r="D208" s="57"/>
      <c r="E208" s="57"/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f>SUM(F208:K208)</f>
        <v>0</v>
      </c>
      <c r="M208" s="8"/>
      <c r="N208" s="8"/>
    </row>
    <row r="209" spans="1:14" ht="16.5" hidden="1" thickBot="1">
      <c r="A209" s="57"/>
      <c r="B209" s="57"/>
      <c r="C209" s="57" t="s">
        <v>98</v>
      </c>
      <c r="D209" s="57"/>
      <c r="E209" s="57"/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f>SUM(F209:K209)</f>
        <v>0</v>
      </c>
      <c r="M209" s="8"/>
      <c r="N209" s="8"/>
    </row>
    <row r="210" spans="1:14">
      <c r="A210" s="57"/>
      <c r="B210" s="57"/>
      <c r="C210" s="57"/>
      <c r="D210" s="57"/>
      <c r="E210" s="57"/>
      <c r="F210" s="20"/>
      <c r="G210" s="20"/>
      <c r="H210" s="20"/>
      <c r="I210" s="20"/>
      <c r="J210" s="20"/>
      <c r="K210" s="20"/>
      <c r="L210" s="20"/>
      <c r="M210" s="8"/>
      <c r="N210" s="8"/>
    </row>
    <row r="211" spans="1:14" ht="16.5" thickBot="1">
      <c r="A211" s="57"/>
      <c r="B211" s="57"/>
      <c r="C211" s="57" t="s">
        <v>10</v>
      </c>
      <c r="D211" s="31">
        <f>SUM(D206:D210)</f>
        <v>57520.43</v>
      </c>
      <c r="E211" s="31">
        <f>SUM(E206:E210)</f>
        <v>261.16000000000003</v>
      </c>
      <c r="F211" s="31">
        <f>SUM(F206:F210)</f>
        <v>0</v>
      </c>
      <c r="G211" s="31">
        <f t="shared" ref="G211:K211" si="51">SUM(G206:G210)</f>
        <v>0</v>
      </c>
      <c r="H211" s="31">
        <f t="shared" si="51"/>
        <v>0</v>
      </c>
      <c r="I211" s="31">
        <f t="shared" si="51"/>
        <v>0</v>
      </c>
      <c r="J211" s="31">
        <f t="shared" si="51"/>
        <v>0</v>
      </c>
      <c r="K211" s="31">
        <f t="shared" si="51"/>
        <v>0</v>
      </c>
      <c r="L211" s="31">
        <f>SUM(L206:L210)</f>
        <v>57781.590000000004</v>
      </c>
      <c r="M211" s="8"/>
      <c r="N211" s="8"/>
    </row>
    <row r="212" spans="1:14" ht="16.5" thickTop="1">
      <c r="A212" s="57"/>
      <c r="B212" s="57"/>
      <c r="C212" s="57"/>
      <c r="D212" s="57"/>
      <c r="E212" s="57"/>
      <c r="F212" s="20"/>
      <c r="G212" s="20"/>
      <c r="H212" s="20"/>
      <c r="I212" s="20"/>
      <c r="J212" s="20"/>
      <c r="K212" s="20"/>
      <c r="L212" s="20"/>
      <c r="M212" s="8"/>
      <c r="N212" s="8"/>
    </row>
    <row r="213" spans="1:14">
      <c r="A213" s="57"/>
      <c r="B213" s="57"/>
      <c r="C213" s="57"/>
      <c r="D213" s="57"/>
      <c r="E213" s="57"/>
      <c r="F213" s="20"/>
      <c r="G213" s="20"/>
      <c r="H213" s="20"/>
      <c r="I213" s="20"/>
      <c r="J213" s="20"/>
      <c r="K213" s="20"/>
      <c r="L213" s="20"/>
      <c r="M213" s="8"/>
      <c r="N213" s="8"/>
    </row>
    <row r="214" spans="1:14">
      <c r="A214" s="57">
        <v>54</v>
      </c>
      <c r="B214" s="57" t="s">
        <v>49</v>
      </c>
      <c r="C214" s="57" t="s">
        <v>12</v>
      </c>
      <c r="D214" s="25">
        <v>17868.34</v>
      </c>
      <c r="E214" s="25">
        <v>176.02</v>
      </c>
      <c r="F214" s="25">
        <v>18.100000000000001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f>SUM(D214:K215)</f>
        <v>18062.46</v>
      </c>
      <c r="M214" s="8"/>
      <c r="N214" s="8"/>
    </row>
    <row r="215" spans="1:14" ht="16.5" hidden="1" thickBot="1">
      <c r="A215" s="57"/>
      <c r="B215" s="57"/>
      <c r="C215" s="57" t="s">
        <v>104</v>
      </c>
      <c r="D215" s="57"/>
      <c r="E215" s="57"/>
      <c r="F215" s="29"/>
      <c r="G215" s="29"/>
      <c r="H215" s="29"/>
      <c r="I215" s="29"/>
      <c r="J215" s="29"/>
      <c r="K215" s="29"/>
      <c r="L215" s="29">
        <f>SUM(F215:K215)</f>
        <v>0</v>
      </c>
      <c r="M215" s="8"/>
      <c r="N215" s="8"/>
    </row>
    <row r="216" spans="1:14">
      <c r="A216" s="57"/>
      <c r="B216" s="57"/>
      <c r="C216" s="57"/>
      <c r="D216" s="57"/>
      <c r="E216" s="57"/>
      <c r="F216" s="20"/>
      <c r="G216" s="20"/>
      <c r="H216" s="20"/>
      <c r="I216" s="20"/>
      <c r="J216" s="20"/>
      <c r="K216" s="20"/>
      <c r="L216" s="20"/>
      <c r="M216" s="8"/>
      <c r="N216" s="8"/>
    </row>
    <row r="217" spans="1:14" ht="16.5" thickBot="1">
      <c r="A217" s="57"/>
      <c r="B217" s="57"/>
      <c r="C217" s="57" t="s">
        <v>10</v>
      </c>
      <c r="D217" s="31">
        <f t="shared" ref="D217" si="52">SUM(D214:D216)</f>
        <v>17868.34</v>
      </c>
      <c r="E217" s="31">
        <f t="shared" ref="E217:K217" si="53">SUM(E214:E216)</f>
        <v>176.02</v>
      </c>
      <c r="F217" s="31">
        <f t="shared" si="53"/>
        <v>18.100000000000001</v>
      </c>
      <c r="G217" s="31">
        <f t="shared" si="53"/>
        <v>0</v>
      </c>
      <c r="H217" s="31">
        <f t="shared" si="53"/>
        <v>0</v>
      </c>
      <c r="I217" s="31">
        <f t="shared" si="53"/>
        <v>0</v>
      </c>
      <c r="J217" s="31">
        <f t="shared" si="53"/>
        <v>0</v>
      </c>
      <c r="K217" s="31">
        <f t="shared" si="53"/>
        <v>0</v>
      </c>
      <c r="L217" s="31">
        <f>SUM(L214)</f>
        <v>18062.46</v>
      </c>
      <c r="M217" s="8"/>
      <c r="N217" s="8"/>
    </row>
    <row r="218" spans="1:14" ht="16.5" thickTop="1">
      <c r="A218" s="57"/>
      <c r="B218" s="57"/>
      <c r="C218" s="57"/>
      <c r="D218" s="57"/>
      <c r="E218" s="57"/>
      <c r="F218" s="20"/>
      <c r="G218" s="20"/>
      <c r="H218" s="20"/>
      <c r="I218" s="20"/>
      <c r="J218" s="20"/>
      <c r="K218" s="20"/>
      <c r="L218" s="20"/>
      <c r="M218" s="8"/>
      <c r="N218" s="8"/>
    </row>
    <row r="219" spans="1:14">
      <c r="A219" s="57"/>
      <c r="B219" s="57"/>
      <c r="C219" s="57"/>
      <c r="D219" s="57"/>
      <c r="E219" s="57"/>
      <c r="F219" s="20"/>
      <c r="G219" s="20"/>
      <c r="H219" s="20"/>
      <c r="I219" s="20"/>
      <c r="J219" s="20"/>
      <c r="K219" s="20"/>
      <c r="L219" s="20"/>
      <c r="M219" s="8"/>
      <c r="N219" s="8"/>
    </row>
    <row r="220" spans="1:14">
      <c r="A220" s="57">
        <v>55</v>
      </c>
      <c r="B220" s="57" t="s">
        <v>50</v>
      </c>
      <c r="C220" s="57" t="s">
        <v>12</v>
      </c>
      <c r="D220" s="20">
        <v>51365.01</v>
      </c>
      <c r="E220" s="20">
        <v>268.85000000000002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f>SUM(D220:K220)</f>
        <v>51633.86</v>
      </c>
      <c r="M220" s="8"/>
      <c r="N220" s="8"/>
    </row>
    <row r="221" spans="1:14" ht="16.5" thickBot="1">
      <c r="A221" s="57"/>
      <c r="B221" s="57"/>
      <c r="C221" s="57" t="s">
        <v>13</v>
      </c>
      <c r="D221" s="29">
        <v>755.37</v>
      </c>
      <c r="E221" s="29">
        <v>4.3899999999999997</v>
      </c>
      <c r="F221" s="29">
        <v>0</v>
      </c>
      <c r="G221" s="29">
        <v>0</v>
      </c>
      <c r="H221" s="29">
        <v>0</v>
      </c>
      <c r="I221" s="29">
        <v>0</v>
      </c>
      <c r="J221" s="29">
        <v>0</v>
      </c>
      <c r="K221" s="29">
        <v>0</v>
      </c>
      <c r="L221" s="29">
        <f>SUM(D221:K221)</f>
        <v>759.76</v>
      </c>
      <c r="M221" s="8"/>
      <c r="N221" s="8"/>
    </row>
    <row r="222" spans="1:14">
      <c r="A222" s="57"/>
      <c r="B222" s="57"/>
      <c r="C222" s="57"/>
      <c r="D222" s="57"/>
      <c r="E222" s="57"/>
      <c r="F222" s="20"/>
      <c r="G222" s="20"/>
      <c r="H222" s="20"/>
      <c r="I222" s="20"/>
      <c r="J222" s="20"/>
      <c r="K222" s="20"/>
      <c r="L222" s="20"/>
      <c r="M222" s="8"/>
      <c r="N222" s="8"/>
    </row>
    <row r="223" spans="1:14" ht="16.5" thickBot="1">
      <c r="A223" s="57"/>
      <c r="B223" s="57"/>
      <c r="C223" s="57" t="s">
        <v>10</v>
      </c>
      <c r="D223" s="31">
        <f t="shared" ref="D223" si="54">SUM(D220:D221)</f>
        <v>52120.380000000005</v>
      </c>
      <c r="E223" s="31">
        <f t="shared" ref="E223:K223" si="55">SUM(E220:E221)</f>
        <v>273.24</v>
      </c>
      <c r="F223" s="31">
        <f t="shared" si="55"/>
        <v>0</v>
      </c>
      <c r="G223" s="31">
        <f t="shared" si="55"/>
        <v>0</v>
      </c>
      <c r="H223" s="31">
        <f t="shared" si="55"/>
        <v>0</v>
      </c>
      <c r="I223" s="31">
        <f t="shared" si="55"/>
        <v>0</v>
      </c>
      <c r="J223" s="31">
        <f t="shared" si="55"/>
        <v>0</v>
      </c>
      <c r="K223" s="31">
        <f t="shared" si="55"/>
        <v>0</v>
      </c>
      <c r="L223" s="31">
        <f>SUM(L220:L221)</f>
        <v>52393.62</v>
      </c>
      <c r="M223" s="8"/>
      <c r="N223" s="8"/>
    </row>
    <row r="224" spans="1:14" ht="16.5" thickTop="1">
      <c r="A224" s="57"/>
      <c r="B224" s="57"/>
      <c r="C224" s="57"/>
      <c r="D224" s="57"/>
      <c r="E224" s="57"/>
      <c r="F224" s="20"/>
      <c r="G224" s="20"/>
      <c r="H224" s="20"/>
      <c r="I224" s="20"/>
      <c r="J224" s="20"/>
      <c r="K224" s="20"/>
      <c r="L224" s="20"/>
      <c r="M224" s="8"/>
      <c r="N224" s="8"/>
    </row>
    <row r="225" spans="1:14">
      <c r="A225" s="57"/>
      <c r="B225" s="57"/>
      <c r="C225" s="57"/>
      <c r="D225" s="57"/>
      <c r="E225" s="57"/>
      <c r="F225" s="20"/>
      <c r="G225" s="20"/>
      <c r="H225" s="20"/>
      <c r="I225" s="20"/>
      <c r="J225" s="20"/>
      <c r="K225" s="20"/>
      <c r="L225" s="20"/>
      <c r="M225" s="8"/>
      <c r="N225" s="8"/>
    </row>
    <row r="226" spans="1:14">
      <c r="A226" s="57">
        <v>56</v>
      </c>
      <c r="B226" s="57" t="s">
        <v>51</v>
      </c>
      <c r="C226" s="57" t="s">
        <v>12</v>
      </c>
      <c r="D226" s="20">
        <v>31010.36</v>
      </c>
      <c r="E226" s="20">
        <v>662.27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f>SUM(D226:K226)</f>
        <v>31672.63</v>
      </c>
      <c r="M226" s="8"/>
      <c r="N226" s="8"/>
    </row>
    <row r="227" spans="1:14" ht="16.5" thickBot="1">
      <c r="A227" s="57"/>
      <c r="B227" s="57"/>
      <c r="C227" s="57" t="s">
        <v>13</v>
      </c>
      <c r="D227" s="29">
        <v>1740.03</v>
      </c>
      <c r="E227" s="29">
        <v>38.549999999999997</v>
      </c>
      <c r="F227" s="29">
        <v>0</v>
      </c>
      <c r="G227" s="29">
        <v>0</v>
      </c>
      <c r="H227" s="29">
        <v>0</v>
      </c>
      <c r="I227" s="29">
        <v>0</v>
      </c>
      <c r="J227" s="29">
        <v>0</v>
      </c>
      <c r="K227" s="29">
        <v>0</v>
      </c>
      <c r="L227" s="29">
        <f>SUM(D227:K227)</f>
        <v>1778.58</v>
      </c>
      <c r="M227" s="8"/>
      <c r="N227" s="8"/>
    </row>
    <row r="228" spans="1:14">
      <c r="A228" s="57"/>
      <c r="B228" s="57"/>
      <c r="C228" s="57"/>
      <c r="D228" s="57"/>
      <c r="E228" s="57"/>
      <c r="F228" s="20"/>
      <c r="G228" s="20"/>
      <c r="H228" s="20"/>
      <c r="I228" s="20"/>
      <c r="J228" s="20"/>
      <c r="K228" s="20"/>
      <c r="L228" s="20"/>
      <c r="M228" s="8"/>
      <c r="N228" s="8"/>
    </row>
    <row r="229" spans="1:14" ht="16.5" thickBot="1">
      <c r="A229" s="57"/>
      <c r="B229" s="57"/>
      <c r="C229" s="57" t="s">
        <v>10</v>
      </c>
      <c r="D229" s="31">
        <f t="shared" ref="D229" si="56">SUM(D226:D227)</f>
        <v>32750.39</v>
      </c>
      <c r="E229" s="31">
        <f t="shared" ref="E229:K229" si="57">SUM(E226:E227)</f>
        <v>700.81999999999994</v>
      </c>
      <c r="F229" s="31">
        <f t="shared" si="57"/>
        <v>0</v>
      </c>
      <c r="G229" s="31">
        <f t="shared" si="57"/>
        <v>0</v>
      </c>
      <c r="H229" s="31">
        <f t="shared" si="57"/>
        <v>0</v>
      </c>
      <c r="I229" s="31">
        <f t="shared" si="57"/>
        <v>0</v>
      </c>
      <c r="J229" s="31">
        <f t="shared" si="57"/>
        <v>0</v>
      </c>
      <c r="K229" s="31">
        <f t="shared" si="57"/>
        <v>0</v>
      </c>
      <c r="L229" s="31">
        <f>SUM(L226:L227)</f>
        <v>33451.21</v>
      </c>
      <c r="M229" s="8"/>
      <c r="N229" s="8"/>
    </row>
    <row r="230" spans="1:14" ht="16.5" thickTop="1">
      <c r="A230" s="57"/>
      <c r="B230" s="57"/>
      <c r="C230" s="57"/>
      <c r="D230" s="57"/>
      <c r="E230" s="57"/>
      <c r="F230" s="20"/>
      <c r="G230" s="20"/>
      <c r="H230" s="20"/>
      <c r="I230" s="20"/>
      <c r="J230" s="20"/>
      <c r="K230" s="20"/>
      <c r="L230" s="20"/>
      <c r="M230" s="8"/>
      <c r="N230" s="8"/>
    </row>
    <row r="231" spans="1:14">
      <c r="A231" s="57"/>
      <c r="B231" s="57"/>
      <c r="C231" s="57"/>
      <c r="D231" s="57"/>
      <c r="E231" s="57"/>
      <c r="F231" s="20"/>
      <c r="G231" s="20"/>
      <c r="H231" s="20"/>
      <c r="I231" s="20"/>
      <c r="J231" s="20"/>
      <c r="K231" s="20"/>
      <c r="L231" s="20"/>
      <c r="M231" s="8"/>
      <c r="N231" s="8"/>
    </row>
    <row r="232" spans="1:14">
      <c r="A232" s="57">
        <v>57</v>
      </c>
      <c r="B232" s="57" t="s">
        <v>52</v>
      </c>
      <c r="C232" s="57" t="s">
        <v>12</v>
      </c>
      <c r="D232" s="20">
        <v>49786.400000000001</v>
      </c>
      <c r="E232" s="20">
        <v>418.2</v>
      </c>
      <c r="F232" s="20">
        <v>77.48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f>SUM(D232:K233)</f>
        <v>50282.080000000002</v>
      </c>
      <c r="M232" s="8"/>
      <c r="N232" s="8"/>
    </row>
    <row r="233" spans="1:14" hidden="1">
      <c r="A233" s="57"/>
      <c r="B233" s="57"/>
      <c r="C233" s="57" t="s">
        <v>13</v>
      </c>
      <c r="D233" s="20"/>
      <c r="E233" s="20"/>
      <c r="F233" s="20"/>
      <c r="G233" s="20"/>
      <c r="H233" s="20"/>
      <c r="I233" s="20">
        <v>0</v>
      </c>
      <c r="J233" s="20">
        <v>0</v>
      </c>
      <c r="K233" s="20">
        <v>0</v>
      </c>
      <c r="L233" s="20">
        <f t="shared" ref="L233" si="58">SUM(F233:K233)</f>
        <v>0</v>
      </c>
      <c r="M233" s="8"/>
      <c r="N233" s="8"/>
    </row>
    <row r="234" spans="1:14" ht="16.5" thickBot="1">
      <c r="A234" s="57"/>
      <c r="B234" s="57"/>
      <c r="C234" s="57" t="s">
        <v>13</v>
      </c>
      <c r="D234" s="29">
        <v>802.11</v>
      </c>
      <c r="E234" s="29">
        <v>6.92</v>
      </c>
      <c r="F234" s="29">
        <v>1.47</v>
      </c>
      <c r="G234" s="29">
        <v>0</v>
      </c>
      <c r="H234" s="29">
        <v>0</v>
      </c>
      <c r="I234" s="29">
        <v>0</v>
      </c>
      <c r="J234" s="29">
        <v>0</v>
      </c>
      <c r="K234" s="29">
        <v>0</v>
      </c>
      <c r="L234" s="29">
        <f>SUM(D234:K234)</f>
        <v>810.5</v>
      </c>
      <c r="M234" s="8"/>
      <c r="N234" s="8"/>
    </row>
    <row r="235" spans="1:14" ht="16.5" hidden="1" thickBot="1">
      <c r="A235" s="57"/>
      <c r="B235" s="57"/>
      <c r="C235" s="57" t="s">
        <v>109</v>
      </c>
      <c r="D235" s="57"/>
      <c r="E235" s="57"/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  <c r="L235" s="29">
        <f>SUM(F235:K235)</f>
        <v>0</v>
      </c>
      <c r="M235" s="8"/>
      <c r="N235" s="8"/>
    </row>
    <row r="236" spans="1:14">
      <c r="A236" s="57"/>
      <c r="B236" s="57"/>
      <c r="C236" s="57"/>
      <c r="D236" s="57"/>
      <c r="E236" s="57"/>
      <c r="F236" s="20"/>
      <c r="G236" s="20"/>
      <c r="H236" s="20"/>
      <c r="I236" s="20"/>
      <c r="J236" s="20"/>
      <c r="K236" s="20"/>
      <c r="L236" s="20"/>
      <c r="M236" s="8"/>
      <c r="N236" s="8"/>
    </row>
    <row r="237" spans="1:14" ht="16.5" thickBot="1">
      <c r="A237" s="57"/>
      <c r="B237" s="57"/>
      <c r="C237" s="57" t="s">
        <v>10</v>
      </c>
      <c r="D237" s="31">
        <f t="shared" ref="D237" si="59">SUM(D232:D235)</f>
        <v>50588.51</v>
      </c>
      <c r="E237" s="31">
        <f t="shared" ref="E237:K237" si="60">SUM(E232:E235)</f>
        <v>425.12</v>
      </c>
      <c r="F237" s="31">
        <f t="shared" si="60"/>
        <v>78.95</v>
      </c>
      <c r="G237" s="31">
        <f t="shared" si="60"/>
        <v>0</v>
      </c>
      <c r="H237" s="31">
        <f t="shared" si="60"/>
        <v>0</v>
      </c>
      <c r="I237" s="31">
        <f t="shared" si="60"/>
        <v>0</v>
      </c>
      <c r="J237" s="31">
        <f t="shared" si="60"/>
        <v>0</v>
      </c>
      <c r="K237" s="31">
        <f t="shared" si="60"/>
        <v>0</v>
      </c>
      <c r="L237" s="31">
        <f>SUM(L232:L234)</f>
        <v>51092.58</v>
      </c>
      <c r="M237" s="8"/>
      <c r="N237" s="8"/>
    </row>
    <row r="238" spans="1:14" ht="16.5" thickTop="1">
      <c r="A238" s="57"/>
      <c r="B238" s="57"/>
      <c r="C238" s="57"/>
      <c r="D238" s="57"/>
      <c r="E238" s="57"/>
      <c r="F238" s="20"/>
      <c r="G238" s="20"/>
      <c r="H238" s="20"/>
      <c r="I238" s="20"/>
      <c r="J238" s="20"/>
      <c r="K238" s="20"/>
      <c r="L238" s="20"/>
      <c r="M238" s="8"/>
      <c r="N238" s="8"/>
    </row>
    <row r="239" spans="1:14">
      <c r="A239" s="57"/>
      <c r="B239" s="57"/>
      <c r="C239" s="57"/>
      <c r="D239" s="57"/>
      <c r="E239" s="57"/>
      <c r="F239" s="20"/>
      <c r="G239" s="20"/>
      <c r="H239" s="20"/>
      <c r="I239" s="20"/>
      <c r="J239" s="20"/>
      <c r="K239" s="20"/>
      <c r="L239" s="20"/>
      <c r="M239" s="8"/>
      <c r="N239" s="8"/>
    </row>
    <row r="240" spans="1:14">
      <c r="A240" s="57">
        <v>58</v>
      </c>
      <c r="B240" s="57" t="s">
        <v>53</v>
      </c>
      <c r="C240" s="57" t="s">
        <v>12</v>
      </c>
      <c r="D240" s="20">
        <v>26315.1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f>SUM(D240:K240)</f>
        <v>26315.1</v>
      </c>
      <c r="M240" s="8"/>
      <c r="N240" s="8"/>
    </row>
    <row r="241" spans="1:14" ht="16.5" thickBot="1">
      <c r="A241" s="57"/>
      <c r="B241" s="57"/>
      <c r="C241" s="57" t="s">
        <v>116</v>
      </c>
      <c r="D241" s="29">
        <v>6812.68</v>
      </c>
      <c r="E241" s="29">
        <v>0</v>
      </c>
      <c r="F241" s="29">
        <v>0</v>
      </c>
      <c r="G241" s="29">
        <v>0</v>
      </c>
      <c r="H241" s="29">
        <v>0</v>
      </c>
      <c r="I241" s="29"/>
      <c r="J241" s="29"/>
      <c r="K241" s="29"/>
      <c r="L241" s="29">
        <f>SUM(D241:K241)</f>
        <v>6812.68</v>
      </c>
      <c r="M241" s="8"/>
      <c r="N241" s="8"/>
    </row>
    <row r="242" spans="1:14">
      <c r="A242" s="57"/>
      <c r="B242" s="57"/>
      <c r="C242" s="57"/>
      <c r="D242" s="57"/>
      <c r="E242" s="57"/>
      <c r="F242" s="20"/>
      <c r="G242" s="20"/>
      <c r="H242" s="20"/>
      <c r="I242" s="20"/>
      <c r="J242" s="20"/>
      <c r="K242" s="20"/>
      <c r="L242" s="20"/>
      <c r="M242" s="8"/>
      <c r="N242" s="8"/>
    </row>
    <row r="243" spans="1:14" ht="16.5" thickBot="1">
      <c r="A243" s="57"/>
      <c r="B243" s="57"/>
      <c r="C243" s="57" t="s">
        <v>10</v>
      </c>
      <c r="D243" s="31">
        <f t="shared" ref="D243" si="61">SUM(D240:D241)</f>
        <v>33127.78</v>
      </c>
      <c r="E243" s="31">
        <f t="shared" ref="E243:K243" si="62">SUM(E240:E241)</f>
        <v>0</v>
      </c>
      <c r="F243" s="31">
        <f t="shared" si="62"/>
        <v>0</v>
      </c>
      <c r="G243" s="31">
        <f t="shared" si="62"/>
        <v>0</v>
      </c>
      <c r="H243" s="31">
        <f t="shared" si="62"/>
        <v>0</v>
      </c>
      <c r="I243" s="31">
        <f t="shared" si="62"/>
        <v>0</v>
      </c>
      <c r="J243" s="31">
        <f t="shared" si="62"/>
        <v>0</v>
      </c>
      <c r="K243" s="31">
        <f t="shared" si="62"/>
        <v>0</v>
      </c>
      <c r="L243" s="31">
        <f>SUM(L240:L241)</f>
        <v>33127.78</v>
      </c>
      <c r="M243" s="8"/>
      <c r="N243" s="8"/>
    </row>
    <row r="244" spans="1:14" ht="16.5" thickTop="1">
      <c r="A244" s="57"/>
      <c r="B244" s="57"/>
      <c r="C244" s="57"/>
      <c r="D244" s="57"/>
      <c r="E244" s="57"/>
      <c r="F244" s="20"/>
      <c r="G244" s="20"/>
      <c r="H244" s="20"/>
      <c r="I244" s="20"/>
      <c r="J244" s="20"/>
      <c r="K244" s="20"/>
      <c r="L244" s="20"/>
      <c r="M244" s="8"/>
      <c r="N244" s="8"/>
    </row>
    <row r="245" spans="1:14">
      <c r="A245" s="57"/>
      <c r="B245" s="57"/>
      <c r="C245" s="57"/>
      <c r="D245" s="57"/>
      <c r="E245" s="57"/>
      <c r="F245" s="20"/>
      <c r="G245" s="20"/>
      <c r="H245" s="20"/>
      <c r="I245" s="20"/>
      <c r="J245" s="20"/>
      <c r="K245" s="20"/>
      <c r="L245" s="20"/>
      <c r="M245" s="8"/>
      <c r="N245" s="8"/>
    </row>
    <row r="246" spans="1:14">
      <c r="A246" s="57">
        <v>59</v>
      </c>
      <c r="B246" s="57" t="s">
        <v>54</v>
      </c>
      <c r="C246" s="57" t="s">
        <v>12</v>
      </c>
      <c r="D246" s="20">
        <v>25190.31</v>
      </c>
      <c r="E246" s="20">
        <v>23.18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f>SUM(D246:K246)</f>
        <v>25213.49</v>
      </c>
      <c r="M246" s="8"/>
      <c r="N246" s="8"/>
    </row>
    <row r="247" spans="1:14" ht="16.5" thickBot="1">
      <c r="A247" s="57"/>
      <c r="B247" s="57"/>
      <c r="C247" s="57" t="s">
        <v>35</v>
      </c>
      <c r="D247" s="29">
        <v>2399.0700000000002</v>
      </c>
      <c r="E247" s="29">
        <v>0</v>
      </c>
      <c r="F247" s="29">
        <v>0</v>
      </c>
      <c r="G247" s="29"/>
      <c r="H247" s="29"/>
      <c r="I247" s="29">
        <v>0</v>
      </c>
      <c r="J247" s="29">
        <v>0</v>
      </c>
      <c r="K247" s="29">
        <v>0</v>
      </c>
      <c r="L247" s="29">
        <f>SUM(D247:K247)</f>
        <v>2399.0700000000002</v>
      </c>
      <c r="M247" s="8"/>
      <c r="N247" s="8"/>
    </row>
    <row r="248" spans="1:14">
      <c r="A248" s="57"/>
      <c r="B248" s="57"/>
      <c r="C248" s="57"/>
      <c r="D248" s="57"/>
      <c r="E248" s="57"/>
      <c r="F248" s="20"/>
      <c r="G248" s="20"/>
      <c r="H248" s="20"/>
      <c r="I248" s="20"/>
      <c r="J248" s="20"/>
      <c r="K248" s="20"/>
      <c r="L248" s="20"/>
      <c r="M248" s="8"/>
      <c r="N248" s="8"/>
    </row>
    <row r="249" spans="1:14" ht="16.5" thickBot="1">
      <c r="A249" s="57"/>
      <c r="B249" s="57"/>
      <c r="C249" s="57" t="s">
        <v>10</v>
      </c>
      <c r="D249" s="31">
        <f t="shared" ref="D249" si="63">SUM(D246:D247)</f>
        <v>27589.38</v>
      </c>
      <c r="E249" s="31">
        <f t="shared" ref="E249:K249" si="64">SUM(E246:E247)</f>
        <v>23.18</v>
      </c>
      <c r="F249" s="31">
        <f t="shared" si="64"/>
        <v>0</v>
      </c>
      <c r="G249" s="31">
        <f t="shared" si="64"/>
        <v>0</v>
      </c>
      <c r="H249" s="31">
        <f t="shared" si="64"/>
        <v>0</v>
      </c>
      <c r="I249" s="31">
        <f t="shared" si="64"/>
        <v>0</v>
      </c>
      <c r="J249" s="31">
        <f t="shared" si="64"/>
        <v>0</v>
      </c>
      <c r="K249" s="31">
        <f t="shared" si="64"/>
        <v>0</v>
      </c>
      <c r="L249" s="31">
        <f>SUM(L246:L247)</f>
        <v>27612.560000000001</v>
      </c>
      <c r="M249" s="8"/>
      <c r="N249" s="8"/>
    </row>
    <row r="250" spans="1:14" ht="16.5" thickTop="1">
      <c r="A250" s="57"/>
      <c r="B250" s="57"/>
      <c r="C250" s="57"/>
      <c r="D250" s="57"/>
      <c r="E250" s="57"/>
      <c r="F250" s="20"/>
      <c r="G250" s="20"/>
      <c r="H250" s="20"/>
      <c r="I250" s="20"/>
      <c r="J250" s="20"/>
      <c r="K250" s="20"/>
      <c r="L250" s="20"/>
      <c r="M250" s="8"/>
      <c r="N250" s="8"/>
    </row>
    <row r="251" spans="1:14">
      <c r="A251" s="57"/>
      <c r="B251" s="57"/>
      <c r="C251" s="57"/>
      <c r="D251" s="57"/>
      <c r="E251" s="57"/>
      <c r="F251" s="20"/>
      <c r="G251" s="20"/>
      <c r="H251" s="20"/>
      <c r="I251" s="20"/>
      <c r="J251" s="20"/>
      <c r="K251" s="20"/>
      <c r="L251" s="20"/>
      <c r="M251" s="8"/>
      <c r="N251" s="8"/>
    </row>
    <row r="252" spans="1:14">
      <c r="A252" s="57">
        <v>60</v>
      </c>
      <c r="B252" s="57" t="s">
        <v>55</v>
      </c>
      <c r="C252" s="57" t="s">
        <v>12</v>
      </c>
      <c r="D252" s="20">
        <v>152062.85999999999</v>
      </c>
      <c r="E252" s="20">
        <v>743.46</v>
      </c>
      <c r="F252" s="20">
        <v>332.64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f>SUM(D252:K253)</f>
        <v>153138.96</v>
      </c>
      <c r="M252" s="8"/>
      <c r="N252" s="8"/>
    </row>
    <row r="253" spans="1:14" hidden="1">
      <c r="A253" s="57"/>
      <c r="B253" s="57"/>
      <c r="C253" s="57" t="s">
        <v>35</v>
      </c>
      <c r="D253" s="57"/>
      <c r="E253" s="57"/>
      <c r="F253" s="20"/>
      <c r="G253" s="20"/>
      <c r="H253" s="20"/>
      <c r="I253" s="20">
        <v>0</v>
      </c>
      <c r="J253" s="20">
        <v>0</v>
      </c>
      <c r="K253" s="20">
        <v>0</v>
      </c>
      <c r="L253" s="20">
        <f>SUM(F253:K253)</f>
        <v>0</v>
      </c>
      <c r="M253" s="8"/>
      <c r="N253" s="8"/>
    </row>
    <row r="254" spans="1:14" ht="16.5" thickBot="1">
      <c r="A254" s="57"/>
      <c r="B254" s="57"/>
      <c r="C254" s="57"/>
      <c r="D254" s="29"/>
      <c r="E254" s="29"/>
      <c r="F254" s="29"/>
      <c r="G254" s="29"/>
      <c r="H254" s="29"/>
      <c r="I254" s="29">
        <v>0</v>
      </c>
      <c r="J254" s="29">
        <v>0</v>
      </c>
      <c r="K254" s="29">
        <v>0</v>
      </c>
      <c r="L254" s="29">
        <f>SUM(D254:K255)</f>
        <v>0</v>
      </c>
      <c r="M254" s="8"/>
      <c r="N254" s="8"/>
    </row>
    <row r="255" spans="1:14" hidden="1">
      <c r="A255" s="57"/>
      <c r="B255" s="57"/>
      <c r="C255" s="57" t="s">
        <v>98</v>
      </c>
      <c r="D255" s="57"/>
      <c r="E255" s="57"/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f>SUM(F255:K255)</f>
        <v>0</v>
      </c>
      <c r="M255" s="8"/>
      <c r="N255" s="8"/>
    </row>
    <row r="256" spans="1:14">
      <c r="A256" s="57"/>
      <c r="B256" s="57"/>
      <c r="C256" s="57"/>
      <c r="D256" s="57"/>
      <c r="E256" s="57"/>
      <c r="F256" s="20"/>
      <c r="G256" s="20"/>
      <c r="H256" s="20"/>
      <c r="I256" s="20"/>
      <c r="J256" s="20"/>
      <c r="K256" s="20"/>
      <c r="L256" s="20"/>
      <c r="M256" s="8"/>
      <c r="N256" s="8"/>
    </row>
    <row r="257" spans="1:14">
      <c r="A257" s="57"/>
      <c r="B257" s="57"/>
      <c r="C257" s="57"/>
      <c r="D257" s="57"/>
      <c r="E257" s="57"/>
      <c r="F257" s="20"/>
      <c r="G257" s="20"/>
      <c r="H257" s="20"/>
      <c r="I257" s="20"/>
      <c r="J257" s="20"/>
      <c r="K257" s="20"/>
      <c r="L257" s="20"/>
      <c r="M257" s="8"/>
      <c r="N257" s="8"/>
    </row>
    <row r="258" spans="1:14" ht="16.5" thickBot="1">
      <c r="A258" s="57"/>
      <c r="B258" s="57"/>
      <c r="C258" s="57" t="s">
        <v>10</v>
      </c>
      <c r="D258" s="31">
        <f t="shared" ref="D258" si="65">SUM(D252:D257)</f>
        <v>152062.85999999999</v>
      </c>
      <c r="E258" s="31">
        <f t="shared" ref="E258:K258" si="66">SUM(E252:E257)</f>
        <v>743.46</v>
      </c>
      <c r="F258" s="31">
        <f t="shared" si="66"/>
        <v>332.64</v>
      </c>
      <c r="G258" s="31">
        <f t="shared" si="66"/>
        <v>0</v>
      </c>
      <c r="H258" s="31">
        <f t="shared" si="66"/>
        <v>0</v>
      </c>
      <c r="I258" s="31">
        <f t="shared" si="66"/>
        <v>0</v>
      </c>
      <c r="J258" s="31">
        <f t="shared" si="66"/>
        <v>0</v>
      </c>
      <c r="K258" s="31">
        <f t="shared" si="66"/>
        <v>0</v>
      </c>
      <c r="L258" s="31">
        <f>SUM(L252:L254)</f>
        <v>153138.96</v>
      </c>
      <c r="M258" s="8"/>
      <c r="N258" s="8"/>
    </row>
    <row r="259" spans="1:14" ht="16.5" thickTop="1">
      <c r="A259" s="57"/>
      <c r="B259" s="57"/>
      <c r="C259" s="57"/>
      <c r="D259" s="57"/>
      <c r="E259" s="57"/>
      <c r="F259" s="20"/>
      <c r="G259" s="20"/>
      <c r="H259" s="20"/>
      <c r="I259" s="20"/>
      <c r="J259" s="20"/>
      <c r="K259" s="20"/>
      <c r="L259" s="20"/>
      <c r="M259" s="8"/>
      <c r="N259" s="8"/>
    </row>
    <row r="260" spans="1:14">
      <c r="A260" s="57"/>
      <c r="B260" s="57"/>
      <c r="C260" s="57"/>
      <c r="D260" s="57"/>
      <c r="E260" s="57"/>
      <c r="F260" s="20"/>
      <c r="G260" s="20"/>
      <c r="H260" s="20"/>
      <c r="I260" s="20"/>
      <c r="J260" s="20"/>
      <c r="K260" s="20"/>
      <c r="L260" s="20"/>
      <c r="M260" s="8"/>
      <c r="N260" s="8"/>
    </row>
    <row r="261" spans="1:14">
      <c r="A261" s="57">
        <v>61</v>
      </c>
      <c r="B261" s="57" t="s">
        <v>56</v>
      </c>
      <c r="C261" s="57" t="s">
        <v>12</v>
      </c>
      <c r="D261" s="39">
        <v>23094.3</v>
      </c>
      <c r="E261" s="39">
        <v>15.06</v>
      </c>
      <c r="F261" s="39">
        <v>13.53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f>SUM(D261:K261)</f>
        <v>23122.89</v>
      </c>
      <c r="M261" s="8"/>
      <c r="N261" s="8"/>
    </row>
    <row r="262" spans="1:14" ht="16.5" thickBot="1">
      <c r="A262" s="57"/>
      <c r="B262" s="57"/>
      <c r="C262" s="57" t="s">
        <v>13</v>
      </c>
      <c r="D262" s="29">
        <v>2347.9299999999998</v>
      </c>
      <c r="E262" s="29">
        <v>1.67</v>
      </c>
      <c r="F262" s="29">
        <v>1.5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f>SUM(D262:K262)</f>
        <v>2351.1</v>
      </c>
      <c r="M262" s="8"/>
      <c r="N262" s="8"/>
    </row>
    <row r="263" spans="1:14" ht="16.5" hidden="1" thickBot="1">
      <c r="A263" s="57"/>
      <c r="B263" s="57"/>
      <c r="C263" s="57" t="s">
        <v>99</v>
      </c>
      <c r="D263" s="57"/>
      <c r="E263" s="57"/>
      <c r="F263" s="29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f>SUM(F263:K263)</f>
        <v>0</v>
      </c>
      <c r="M263" s="8"/>
      <c r="N263" s="8"/>
    </row>
    <row r="264" spans="1:14">
      <c r="A264" s="57"/>
      <c r="B264" s="57"/>
      <c r="C264" s="57"/>
      <c r="D264" s="57"/>
      <c r="E264" s="57"/>
      <c r="F264" s="20"/>
      <c r="G264" s="20"/>
      <c r="H264" s="20"/>
      <c r="I264" s="20"/>
      <c r="J264" s="20"/>
      <c r="K264" s="20"/>
      <c r="L264" s="20"/>
      <c r="M264" s="8"/>
      <c r="N264" s="8"/>
    </row>
    <row r="265" spans="1:14" ht="16.5" thickBot="1">
      <c r="A265" s="57"/>
      <c r="B265" s="57"/>
      <c r="C265" s="57" t="s">
        <v>10</v>
      </c>
      <c r="D265" s="31">
        <f>SUM(D261:D263)</f>
        <v>25442.23</v>
      </c>
      <c r="E265" s="31">
        <f>SUM(E261:E263)</f>
        <v>16.73</v>
      </c>
      <c r="F265" s="31">
        <f>SUM(F261:F263)</f>
        <v>15.03</v>
      </c>
      <c r="G265" s="31">
        <f t="shared" ref="G265:K265" si="67">SUM(G261:G263)</f>
        <v>0</v>
      </c>
      <c r="H265" s="31">
        <f t="shared" si="67"/>
        <v>0</v>
      </c>
      <c r="I265" s="31">
        <f t="shared" si="67"/>
        <v>0</v>
      </c>
      <c r="J265" s="31">
        <f t="shared" si="67"/>
        <v>0</v>
      </c>
      <c r="K265" s="31">
        <f t="shared" si="67"/>
        <v>0</v>
      </c>
      <c r="L265" s="31">
        <f>SUM(L261:L263)</f>
        <v>25473.989999999998</v>
      </c>
      <c r="M265" s="8"/>
      <c r="N265" s="8"/>
    </row>
    <row r="266" spans="1:14" ht="16.5" thickTop="1">
      <c r="A266" s="57"/>
      <c r="B266" s="57"/>
      <c r="C266" s="57"/>
      <c r="D266" s="57"/>
      <c r="E266" s="57"/>
      <c r="F266" s="20"/>
      <c r="G266" s="20"/>
      <c r="H266" s="20"/>
      <c r="I266" s="20"/>
      <c r="J266" s="20"/>
      <c r="K266" s="20"/>
      <c r="L266" s="20"/>
      <c r="M266" s="8"/>
      <c r="N266" s="8"/>
    </row>
    <row r="267" spans="1:14">
      <c r="A267" s="57"/>
      <c r="B267" s="57"/>
      <c r="C267" s="57"/>
      <c r="D267" s="57"/>
      <c r="E267" s="57"/>
      <c r="F267" s="20"/>
      <c r="G267" s="20"/>
      <c r="H267" s="20"/>
      <c r="I267" s="20"/>
      <c r="J267" s="20"/>
      <c r="K267" s="20"/>
      <c r="L267" s="20"/>
      <c r="M267" s="8"/>
      <c r="N267" s="8"/>
    </row>
    <row r="268" spans="1:14">
      <c r="A268" s="57">
        <v>62</v>
      </c>
      <c r="B268" s="57" t="s">
        <v>57</v>
      </c>
      <c r="C268" s="57" t="s">
        <v>12</v>
      </c>
      <c r="D268" s="20">
        <v>15173.35</v>
      </c>
      <c r="E268" s="20">
        <v>65.92</v>
      </c>
      <c r="F268" s="20">
        <v>68.22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f>SUM(D268:K268)</f>
        <v>15307.49</v>
      </c>
      <c r="M268" s="8"/>
      <c r="N268" s="8"/>
    </row>
    <row r="269" spans="1:14" ht="16.5" thickBot="1">
      <c r="A269" s="57"/>
      <c r="B269" s="57"/>
      <c r="C269" s="57" t="s">
        <v>13</v>
      </c>
      <c r="D269" s="29">
        <v>1685.93</v>
      </c>
      <c r="E269" s="29">
        <v>7.33</v>
      </c>
      <c r="F269" s="29">
        <v>7.58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  <c r="L269" s="29">
        <f>SUM(D269:K269)</f>
        <v>1700.84</v>
      </c>
      <c r="M269" s="8"/>
      <c r="N269" s="8"/>
    </row>
    <row r="270" spans="1:14">
      <c r="A270" s="57"/>
      <c r="B270" s="57"/>
      <c r="C270" s="57"/>
      <c r="D270" s="57"/>
      <c r="E270" s="57"/>
      <c r="F270" s="20"/>
      <c r="G270" s="20"/>
      <c r="H270" s="20"/>
      <c r="I270" s="20"/>
      <c r="J270" s="20"/>
      <c r="K270" s="20"/>
      <c r="L270" s="20"/>
      <c r="M270" s="8"/>
      <c r="N270" s="8"/>
    </row>
    <row r="271" spans="1:14" ht="16.5" thickBot="1">
      <c r="A271" s="57"/>
      <c r="B271" s="57"/>
      <c r="C271" s="57" t="s">
        <v>10</v>
      </c>
      <c r="D271" s="31">
        <f t="shared" ref="D271" si="68">SUM(D268:D269)</f>
        <v>16859.28</v>
      </c>
      <c r="E271" s="31">
        <f t="shared" ref="E271:K271" si="69">SUM(E268:E269)</f>
        <v>73.25</v>
      </c>
      <c r="F271" s="31">
        <f t="shared" si="69"/>
        <v>75.8</v>
      </c>
      <c r="G271" s="31">
        <f t="shared" si="69"/>
        <v>0</v>
      </c>
      <c r="H271" s="31">
        <f t="shared" si="69"/>
        <v>0</v>
      </c>
      <c r="I271" s="31">
        <f t="shared" si="69"/>
        <v>0</v>
      </c>
      <c r="J271" s="31">
        <f t="shared" si="69"/>
        <v>0</v>
      </c>
      <c r="K271" s="31">
        <f t="shared" si="69"/>
        <v>0</v>
      </c>
      <c r="L271" s="31">
        <f>SUM(L268:L269)</f>
        <v>17008.329999999998</v>
      </c>
      <c r="M271" s="8"/>
      <c r="N271" s="8"/>
    </row>
    <row r="272" spans="1:14" ht="16.5" thickTop="1">
      <c r="A272" s="57"/>
      <c r="B272" s="57"/>
      <c r="C272" s="57"/>
      <c r="D272" s="57"/>
      <c r="E272" s="57"/>
      <c r="F272" s="20"/>
      <c r="G272" s="20"/>
      <c r="H272" s="20"/>
      <c r="I272" s="20"/>
      <c r="J272" s="20"/>
      <c r="K272" s="20"/>
      <c r="L272" s="20"/>
      <c r="M272" s="8"/>
      <c r="N272" s="8"/>
    </row>
    <row r="273" spans="1:14">
      <c r="A273" s="57"/>
      <c r="B273" s="57"/>
      <c r="C273" s="57"/>
      <c r="D273" s="57"/>
      <c r="E273" s="57"/>
      <c r="F273" s="20"/>
      <c r="G273" s="20"/>
      <c r="H273" s="20"/>
      <c r="I273" s="20"/>
      <c r="J273" s="20"/>
      <c r="K273" s="20"/>
      <c r="L273" s="20"/>
      <c r="M273" s="8"/>
      <c r="N273" s="8"/>
    </row>
    <row r="274" spans="1:14">
      <c r="A274" s="57">
        <v>63</v>
      </c>
      <c r="B274" s="57" t="s">
        <v>58</v>
      </c>
      <c r="C274" s="57" t="s">
        <v>12</v>
      </c>
      <c r="D274" s="20">
        <v>25244.82</v>
      </c>
      <c r="E274" s="20">
        <v>133.81</v>
      </c>
      <c r="F274" s="20">
        <v>128.61000000000001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f>SUM(D274:K274)</f>
        <v>25507.24</v>
      </c>
      <c r="M274" s="8"/>
      <c r="N274" s="8"/>
    </row>
    <row r="275" spans="1:14" ht="16.5" thickBot="1">
      <c r="A275" s="57"/>
      <c r="B275" s="57"/>
      <c r="C275" s="57" t="s">
        <v>13</v>
      </c>
      <c r="D275" s="29">
        <v>675.54</v>
      </c>
      <c r="E275" s="29">
        <v>5.45</v>
      </c>
      <c r="F275" s="29">
        <v>5.0599999999999996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>
        <f>SUM(D275:K275)</f>
        <v>686.05</v>
      </c>
      <c r="M275" s="8"/>
      <c r="N275" s="8"/>
    </row>
    <row r="276" spans="1:14">
      <c r="A276" s="57"/>
      <c r="B276" s="57"/>
      <c r="C276" s="57"/>
      <c r="D276" s="57"/>
      <c r="E276" s="57"/>
      <c r="F276" s="20"/>
      <c r="G276" s="20"/>
      <c r="H276" s="20"/>
      <c r="I276" s="20"/>
      <c r="J276" s="20"/>
      <c r="K276" s="20"/>
      <c r="L276" s="20"/>
      <c r="M276" s="8"/>
      <c r="N276" s="8"/>
    </row>
    <row r="277" spans="1:14" ht="16.5" thickBot="1">
      <c r="A277" s="57"/>
      <c r="B277" s="57"/>
      <c r="C277" s="57" t="s">
        <v>10</v>
      </c>
      <c r="D277" s="31">
        <f t="shared" ref="D277" si="70">SUM(D274:D275)</f>
        <v>25920.36</v>
      </c>
      <c r="E277" s="31">
        <f t="shared" ref="E277:K277" si="71">SUM(E274:E275)</f>
        <v>139.26</v>
      </c>
      <c r="F277" s="31">
        <f t="shared" si="71"/>
        <v>133.67000000000002</v>
      </c>
      <c r="G277" s="31">
        <f t="shared" si="71"/>
        <v>0</v>
      </c>
      <c r="H277" s="31">
        <f t="shared" si="71"/>
        <v>0</v>
      </c>
      <c r="I277" s="31">
        <f t="shared" si="71"/>
        <v>0</v>
      </c>
      <c r="J277" s="31">
        <f t="shared" si="71"/>
        <v>0</v>
      </c>
      <c r="K277" s="31">
        <f t="shared" si="71"/>
        <v>0</v>
      </c>
      <c r="L277" s="31">
        <f>SUM(L274:L275)</f>
        <v>26193.29</v>
      </c>
      <c r="M277" s="8"/>
      <c r="N277" s="8"/>
    </row>
    <row r="278" spans="1:14" ht="16.5" thickTop="1">
      <c r="A278" s="57"/>
      <c r="B278" s="57"/>
      <c r="C278" s="57"/>
      <c r="D278" s="57"/>
      <c r="E278" s="57"/>
      <c r="F278" s="20"/>
      <c r="G278" s="20"/>
      <c r="H278" s="20"/>
      <c r="I278" s="20"/>
      <c r="J278" s="20"/>
      <c r="K278" s="20"/>
      <c r="L278" s="20"/>
      <c r="M278" s="8"/>
      <c r="N278" s="8"/>
    </row>
    <row r="279" spans="1:14">
      <c r="A279" s="57"/>
      <c r="B279" s="57"/>
      <c r="C279" s="57"/>
      <c r="D279" s="57"/>
      <c r="E279" s="57"/>
      <c r="F279" s="20"/>
      <c r="G279" s="20"/>
      <c r="H279" s="20"/>
      <c r="I279" s="20"/>
      <c r="J279" s="20"/>
      <c r="K279" s="20"/>
      <c r="L279" s="20"/>
      <c r="M279" s="8"/>
      <c r="N279" s="8"/>
    </row>
    <row r="280" spans="1:14" ht="16.5" thickBot="1">
      <c r="A280" s="57">
        <v>64</v>
      </c>
      <c r="B280" s="57" t="s">
        <v>59</v>
      </c>
      <c r="C280" s="57" t="s">
        <v>12</v>
      </c>
      <c r="D280" s="50">
        <v>69547.37</v>
      </c>
      <c r="E280" s="50">
        <v>298.82</v>
      </c>
      <c r="F280" s="50">
        <v>3.47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f>SUM(D280:K280)</f>
        <v>69849.66</v>
      </c>
      <c r="M280" s="8"/>
      <c r="N280" s="8"/>
    </row>
    <row r="281" spans="1:14">
      <c r="A281" s="57"/>
      <c r="B281" s="57"/>
      <c r="C281" s="57"/>
      <c r="D281" s="57"/>
      <c r="E281" s="57"/>
      <c r="F281" s="20"/>
      <c r="G281" s="20"/>
      <c r="H281" s="20"/>
      <c r="I281" s="20"/>
      <c r="J281" s="20"/>
      <c r="K281" s="20"/>
      <c r="L281" s="20"/>
      <c r="M281" s="8"/>
      <c r="N281" s="8"/>
    </row>
    <row r="282" spans="1:14" ht="16.5" thickBot="1">
      <c r="A282" s="57"/>
      <c r="B282" s="57"/>
      <c r="C282" s="57" t="s">
        <v>10</v>
      </c>
      <c r="D282" s="31">
        <f t="shared" ref="D282" si="72">SUM(D280:D281)</f>
        <v>69547.37</v>
      </c>
      <c r="E282" s="31">
        <f t="shared" ref="E282:K282" si="73">SUM(E280:E281)</f>
        <v>298.82</v>
      </c>
      <c r="F282" s="31">
        <f t="shared" si="73"/>
        <v>3.47</v>
      </c>
      <c r="G282" s="31">
        <f t="shared" si="73"/>
        <v>0</v>
      </c>
      <c r="H282" s="31">
        <f t="shared" si="73"/>
        <v>0</v>
      </c>
      <c r="I282" s="31">
        <f t="shared" si="73"/>
        <v>0</v>
      </c>
      <c r="J282" s="31">
        <f t="shared" si="73"/>
        <v>0</v>
      </c>
      <c r="K282" s="31">
        <f t="shared" si="73"/>
        <v>0</v>
      </c>
      <c r="L282" s="31">
        <f>SUM(L280)</f>
        <v>69849.66</v>
      </c>
      <c r="M282" s="8"/>
      <c r="N282" s="8"/>
    </row>
    <row r="283" spans="1:14" ht="16.5" thickTop="1">
      <c r="A283" s="57"/>
      <c r="B283" s="57"/>
      <c r="C283" s="57"/>
      <c r="D283" s="57"/>
      <c r="E283" s="57"/>
      <c r="F283" s="20"/>
      <c r="G283" s="20"/>
      <c r="H283" s="20"/>
      <c r="I283" s="20"/>
      <c r="J283" s="20"/>
      <c r="K283" s="20"/>
      <c r="L283" s="20"/>
      <c r="M283" s="8"/>
      <c r="N283" s="8"/>
    </row>
    <row r="284" spans="1:14">
      <c r="A284" s="57"/>
      <c r="B284" s="59"/>
      <c r="C284" s="59"/>
      <c r="D284" s="59"/>
      <c r="E284" s="59"/>
      <c r="F284" s="36"/>
      <c r="G284" s="36"/>
      <c r="H284" s="36"/>
      <c r="I284" s="22"/>
      <c r="J284" s="22"/>
      <c r="K284" s="22"/>
      <c r="L284" s="20"/>
      <c r="M284" s="8"/>
      <c r="N284" s="8"/>
    </row>
    <row r="285" spans="1:14" ht="16.5" thickBot="1">
      <c r="A285" s="57">
        <v>65</v>
      </c>
      <c r="B285" s="57" t="s">
        <v>60</v>
      </c>
      <c r="C285" s="57" t="s">
        <v>12</v>
      </c>
      <c r="D285" s="29">
        <v>22603.38</v>
      </c>
      <c r="E285" s="29">
        <v>34.46</v>
      </c>
      <c r="F285" s="29">
        <v>35.04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  <c r="L285" s="29">
        <f>SUM(D285:K286)</f>
        <v>22672.880000000001</v>
      </c>
      <c r="M285" s="8"/>
      <c r="N285" s="8"/>
    </row>
    <row r="286" spans="1:14" ht="16.5" hidden="1" thickBot="1">
      <c r="A286" s="57"/>
      <c r="B286" s="57"/>
      <c r="C286" s="57" t="s">
        <v>13</v>
      </c>
      <c r="D286" s="57"/>
      <c r="E286" s="57"/>
      <c r="F286" s="29"/>
      <c r="G286" s="29"/>
      <c r="H286" s="29"/>
      <c r="I286" s="29"/>
      <c r="J286" s="29"/>
      <c r="K286" s="29"/>
      <c r="L286" s="29"/>
      <c r="M286" s="8"/>
      <c r="N286" s="8"/>
    </row>
    <row r="287" spans="1:14">
      <c r="A287" s="57"/>
      <c r="B287" s="57"/>
      <c r="C287" s="57"/>
      <c r="D287" s="57"/>
      <c r="E287" s="57"/>
      <c r="F287" s="20"/>
      <c r="G287" s="20"/>
      <c r="H287" s="20"/>
      <c r="I287" s="20"/>
      <c r="J287" s="20"/>
      <c r="K287" s="20"/>
      <c r="L287" s="20"/>
      <c r="M287" s="8"/>
      <c r="N287" s="8"/>
    </row>
    <row r="288" spans="1:14" ht="16.5" thickBot="1">
      <c r="A288" s="57"/>
      <c r="B288" s="57"/>
      <c r="C288" s="57" t="s">
        <v>10</v>
      </c>
      <c r="D288" s="31">
        <f t="shared" ref="D288" si="74">SUM(D285:D286)</f>
        <v>22603.38</v>
      </c>
      <c r="E288" s="31">
        <f t="shared" ref="E288:K288" si="75">SUM(E285:E286)</f>
        <v>34.46</v>
      </c>
      <c r="F288" s="31">
        <f t="shared" si="75"/>
        <v>35.04</v>
      </c>
      <c r="G288" s="31">
        <f t="shared" si="75"/>
        <v>0</v>
      </c>
      <c r="H288" s="31">
        <f t="shared" si="75"/>
        <v>0</v>
      </c>
      <c r="I288" s="31">
        <f t="shared" si="75"/>
        <v>0</v>
      </c>
      <c r="J288" s="31">
        <f t="shared" si="75"/>
        <v>0</v>
      </c>
      <c r="K288" s="31">
        <f t="shared" si="75"/>
        <v>0</v>
      </c>
      <c r="L288" s="31">
        <f>SUM(L285)</f>
        <v>22672.880000000001</v>
      </c>
      <c r="M288" s="8"/>
      <c r="N288" s="8"/>
    </row>
    <row r="289" spans="1:14" ht="16.5" thickTop="1">
      <c r="A289" s="57"/>
      <c r="B289" s="57"/>
      <c r="C289" s="57"/>
      <c r="D289" s="57"/>
      <c r="E289" s="57"/>
      <c r="F289" s="20"/>
      <c r="G289" s="20"/>
      <c r="H289" s="20"/>
      <c r="I289" s="20"/>
      <c r="J289" s="20"/>
      <c r="K289" s="20"/>
      <c r="L289" s="20"/>
      <c r="M289" s="8"/>
      <c r="N289" s="8"/>
    </row>
    <row r="290" spans="1:14">
      <c r="A290" s="57"/>
      <c r="B290" s="57"/>
      <c r="C290" s="57"/>
      <c r="D290" s="57"/>
      <c r="E290" s="57"/>
      <c r="F290" s="20"/>
      <c r="G290" s="20"/>
      <c r="H290" s="20"/>
      <c r="I290" s="20"/>
      <c r="J290" s="20"/>
      <c r="K290" s="20"/>
      <c r="L290" s="20"/>
      <c r="M290" s="8"/>
      <c r="N290" s="8"/>
    </row>
    <row r="291" spans="1:14">
      <c r="A291" s="57">
        <v>66</v>
      </c>
      <c r="B291" s="57" t="s">
        <v>61</v>
      </c>
      <c r="C291" s="57" t="s">
        <v>12</v>
      </c>
      <c r="D291" s="20">
        <v>27247.33</v>
      </c>
      <c r="E291" s="20">
        <v>463.73</v>
      </c>
      <c r="F291" s="20">
        <v>385.68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f>SUM(D291:K293)</f>
        <v>28096.74</v>
      </c>
      <c r="M291" s="8"/>
      <c r="N291" s="8"/>
    </row>
    <row r="292" spans="1:14" hidden="1">
      <c r="A292" s="57"/>
      <c r="B292" s="57"/>
      <c r="C292" s="57" t="s">
        <v>35</v>
      </c>
      <c r="D292" s="20"/>
      <c r="E292" s="20"/>
      <c r="F292" s="20"/>
      <c r="G292" s="20"/>
      <c r="H292" s="20"/>
      <c r="I292" s="20">
        <v>0</v>
      </c>
      <c r="J292" s="20">
        <v>0</v>
      </c>
      <c r="K292" s="20">
        <v>0</v>
      </c>
      <c r="L292" s="20">
        <f>SUM(F292:K292)</f>
        <v>0</v>
      </c>
      <c r="M292" s="8"/>
      <c r="N292" s="8"/>
    </row>
    <row r="293" spans="1:14" hidden="1">
      <c r="A293" s="57"/>
      <c r="B293" s="57"/>
      <c r="C293" s="57" t="s">
        <v>73</v>
      </c>
      <c r="D293" s="20"/>
      <c r="E293" s="20"/>
      <c r="F293" s="20"/>
      <c r="G293" s="20"/>
      <c r="H293" s="20"/>
      <c r="I293" s="20">
        <v>0</v>
      </c>
      <c r="J293" s="20">
        <v>0</v>
      </c>
      <c r="K293" s="20">
        <v>0</v>
      </c>
      <c r="L293" s="20">
        <f>SUM(F293:K293)</f>
        <v>0</v>
      </c>
      <c r="M293" s="8"/>
      <c r="N293" s="8"/>
    </row>
    <row r="294" spans="1:14" ht="16.5" thickBot="1">
      <c r="A294" s="57"/>
      <c r="B294" s="57"/>
      <c r="C294" s="57"/>
      <c r="D294" s="29"/>
      <c r="E294" s="29"/>
      <c r="F294" s="29"/>
      <c r="G294" s="29"/>
      <c r="H294" s="29"/>
      <c r="I294" s="29">
        <v>0</v>
      </c>
      <c r="J294" s="29">
        <v>0</v>
      </c>
      <c r="K294" s="29">
        <v>0</v>
      </c>
      <c r="L294" s="29">
        <f>SUM(F294:K294)</f>
        <v>0</v>
      </c>
      <c r="M294" s="8"/>
      <c r="N294" s="8"/>
    </row>
    <row r="295" spans="1:14">
      <c r="A295" s="57"/>
      <c r="B295" s="57"/>
      <c r="C295" s="57"/>
      <c r="D295" s="57"/>
      <c r="E295" s="57"/>
      <c r="F295" s="20"/>
      <c r="G295" s="20"/>
      <c r="H295" s="20"/>
      <c r="I295" s="20"/>
      <c r="J295" s="20"/>
      <c r="K295" s="20"/>
      <c r="L295" s="20"/>
      <c r="M295" s="8"/>
      <c r="N295" s="8"/>
    </row>
    <row r="296" spans="1:14" ht="16.5" thickBot="1">
      <c r="A296" s="57"/>
      <c r="B296" s="57"/>
      <c r="C296" s="57" t="s">
        <v>10</v>
      </c>
      <c r="D296" s="31">
        <f t="shared" ref="D296" si="76">SUM(D291:D294)</f>
        <v>27247.33</v>
      </c>
      <c r="E296" s="31">
        <f t="shared" ref="E296:K296" si="77">SUM(E291:E294)</f>
        <v>463.73</v>
      </c>
      <c r="F296" s="31">
        <f t="shared" si="77"/>
        <v>385.68</v>
      </c>
      <c r="G296" s="31">
        <f t="shared" si="77"/>
        <v>0</v>
      </c>
      <c r="H296" s="31">
        <f t="shared" si="77"/>
        <v>0</v>
      </c>
      <c r="I296" s="31">
        <f t="shared" si="77"/>
        <v>0</v>
      </c>
      <c r="J296" s="31">
        <f t="shared" si="77"/>
        <v>0</v>
      </c>
      <c r="K296" s="31">
        <f t="shared" si="77"/>
        <v>0</v>
      </c>
      <c r="L296" s="31">
        <f>SUM(L291:L294)</f>
        <v>28096.74</v>
      </c>
      <c r="M296" s="8"/>
      <c r="N296" s="8"/>
    </row>
    <row r="297" spans="1:14" ht="16.5" thickTop="1">
      <c r="A297" s="57"/>
      <c r="B297" s="57"/>
      <c r="C297" s="57"/>
      <c r="D297" s="57"/>
      <c r="E297" s="57"/>
      <c r="F297" s="20"/>
      <c r="G297" s="20"/>
      <c r="H297" s="20"/>
      <c r="I297" s="20"/>
      <c r="J297" s="20"/>
      <c r="K297" s="20"/>
      <c r="L297" s="20"/>
      <c r="M297" s="8"/>
      <c r="N297" s="8"/>
    </row>
    <row r="298" spans="1:14">
      <c r="A298" s="57"/>
      <c r="B298" s="57"/>
      <c r="C298" s="57"/>
      <c r="D298" s="57"/>
      <c r="E298" s="57"/>
      <c r="F298" s="20"/>
      <c r="G298" s="20"/>
      <c r="H298" s="20"/>
      <c r="I298" s="20"/>
      <c r="J298" s="20"/>
      <c r="K298" s="20"/>
      <c r="L298" s="20"/>
      <c r="M298" s="8"/>
      <c r="N298" s="8"/>
    </row>
    <row r="299" spans="1:14">
      <c r="A299" s="57">
        <v>67</v>
      </c>
      <c r="B299" s="57" t="s">
        <v>62</v>
      </c>
      <c r="C299" s="57" t="s">
        <v>12</v>
      </c>
      <c r="D299" s="20">
        <v>59531.64</v>
      </c>
      <c r="E299" s="20">
        <v>1591.33</v>
      </c>
      <c r="F299" s="20">
        <v>93.83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20">
        <f>SUM(D299:K299)</f>
        <v>61216.800000000003</v>
      </c>
      <c r="M299" s="8"/>
      <c r="N299" s="8"/>
    </row>
    <row r="300" spans="1:14" ht="16.5" thickBot="1">
      <c r="A300" s="57"/>
      <c r="B300" s="57"/>
      <c r="C300" s="57" t="s">
        <v>13</v>
      </c>
      <c r="D300" s="29">
        <v>479.56</v>
      </c>
      <c r="E300" s="29">
        <v>13.03</v>
      </c>
      <c r="F300" s="29">
        <v>0.85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f>SUM(D300:K300)</f>
        <v>493.44</v>
      </c>
      <c r="M300" s="8"/>
      <c r="N300" s="8"/>
    </row>
    <row r="301" spans="1:14">
      <c r="A301" s="57"/>
      <c r="B301" s="57"/>
      <c r="C301" s="57"/>
      <c r="D301" s="57"/>
      <c r="E301" s="57"/>
      <c r="F301" s="20"/>
      <c r="G301" s="20"/>
      <c r="H301" s="20"/>
      <c r="I301" s="20"/>
      <c r="J301" s="20"/>
      <c r="K301" s="20"/>
      <c r="L301" s="20"/>
      <c r="M301" s="8"/>
      <c r="N301" s="8"/>
    </row>
    <row r="302" spans="1:14" ht="16.5" thickBot="1">
      <c r="A302" s="57"/>
      <c r="B302" s="57"/>
      <c r="C302" s="57" t="s">
        <v>10</v>
      </c>
      <c r="D302" s="31">
        <f t="shared" ref="D302" si="78">SUM(D299:D300)</f>
        <v>60011.199999999997</v>
      </c>
      <c r="E302" s="31">
        <f t="shared" ref="E302:K302" si="79">SUM(E299:E300)</f>
        <v>1604.36</v>
      </c>
      <c r="F302" s="31">
        <f t="shared" si="79"/>
        <v>94.679999999999993</v>
      </c>
      <c r="G302" s="31">
        <f t="shared" si="79"/>
        <v>0</v>
      </c>
      <c r="H302" s="31">
        <f t="shared" si="79"/>
        <v>0</v>
      </c>
      <c r="I302" s="31">
        <f t="shared" si="79"/>
        <v>0</v>
      </c>
      <c r="J302" s="31">
        <f t="shared" si="79"/>
        <v>0</v>
      </c>
      <c r="K302" s="31">
        <f t="shared" si="79"/>
        <v>0</v>
      </c>
      <c r="L302" s="31">
        <f>SUM(L299:L300)</f>
        <v>61710.240000000005</v>
      </c>
      <c r="M302" s="8"/>
      <c r="N302" s="8"/>
    </row>
    <row r="303" spans="1:14" ht="16.5" thickTop="1">
      <c r="A303" s="57"/>
      <c r="B303" s="57"/>
      <c r="C303" s="57"/>
      <c r="D303" s="57"/>
      <c r="E303" s="57"/>
      <c r="F303" s="20"/>
      <c r="G303" s="20"/>
      <c r="H303" s="20"/>
      <c r="I303" s="20"/>
      <c r="J303" s="20"/>
      <c r="K303" s="20"/>
      <c r="L303" s="20"/>
      <c r="M303" s="8"/>
      <c r="N303" s="8"/>
    </row>
    <row r="304" spans="1:14">
      <c r="A304" s="57"/>
      <c r="B304" s="57"/>
      <c r="C304" s="57"/>
      <c r="D304" s="57"/>
      <c r="E304" s="57"/>
      <c r="F304" s="20"/>
      <c r="G304" s="20"/>
      <c r="H304" s="20"/>
      <c r="I304" s="20"/>
      <c r="J304" s="20"/>
      <c r="K304" s="20"/>
      <c r="L304" s="20"/>
      <c r="M304" s="8"/>
      <c r="N304" s="8"/>
    </row>
    <row r="305" spans="1:14">
      <c r="A305" s="57">
        <v>68</v>
      </c>
      <c r="B305" s="57" t="s">
        <v>63</v>
      </c>
      <c r="C305" s="57" t="s">
        <v>12</v>
      </c>
      <c r="D305" s="25">
        <v>27254.37</v>
      </c>
      <c r="E305" s="25">
        <v>484.31</v>
      </c>
      <c r="F305" s="25">
        <v>140.65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f>SUM(D305:K306)</f>
        <v>27879.33</v>
      </c>
      <c r="M305" s="8"/>
      <c r="N305" s="8"/>
    </row>
    <row r="306" spans="1:14" ht="16.5" hidden="1" thickBot="1">
      <c r="A306" s="57"/>
      <c r="B306" s="57"/>
      <c r="C306" s="57" t="s">
        <v>13</v>
      </c>
      <c r="D306" s="57"/>
      <c r="E306" s="57"/>
      <c r="F306" s="29"/>
      <c r="G306" s="29"/>
      <c r="H306" s="29"/>
      <c r="I306" s="29"/>
      <c r="J306" s="29"/>
      <c r="K306" s="29"/>
      <c r="L306" s="29"/>
      <c r="M306" s="8"/>
      <c r="N306" s="8"/>
    </row>
    <row r="307" spans="1:14">
      <c r="A307" s="57"/>
      <c r="B307" s="57"/>
      <c r="C307" s="57"/>
      <c r="D307" s="57"/>
      <c r="E307" s="57"/>
      <c r="F307" s="20"/>
      <c r="G307" s="20"/>
      <c r="H307" s="20"/>
      <c r="I307" s="20"/>
      <c r="J307" s="20"/>
      <c r="K307" s="20"/>
      <c r="L307" s="20"/>
      <c r="M307" s="8"/>
      <c r="N307" s="8"/>
    </row>
    <row r="308" spans="1:14" ht="16.5" thickBot="1">
      <c r="A308" s="57"/>
      <c r="B308" s="57"/>
      <c r="C308" s="57" t="s">
        <v>10</v>
      </c>
      <c r="D308" s="31">
        <f t="shared" ref="D308" si="80">SUM(D305:D306)</f>
        <v>27254.37</v>
      </c>
      <c r="E308" s="31">
        <f t="shared" ref="E308:K308" si="81">SUM(E305:E306)</f>
        <v>484.31</v>
      </c>
      <c r="F308" s="31">
        <f t="shared" si="81"/>
        <v>140.65</v>
      </c>
      <c r="G308" s="31">
        <f t="shared" si="81"/>
        <v>0</v>
      </c>
      <c r="H308" s="31">
        <f t="shared" si="81"/>
        <v>0</v>
      </c>
      <c r="I308" s="31">
        <f t="shared" si="81"/>
        <v>0</v>
      </c>
      <c r="J308" s="31">
        <f t="shared" si="81"/>
        <v>0</v>
      </c>
      <c r="K308" s="31">
        <f t="shared" si="81"/>
        <v>0</v>
      </c>
      <c r="L308" s="31">
        <f>SUM(L305)</f>
        <v>27879.33</v>
      </c>
      <c r="M308" s="8"/>
      <c r="N308" s="8"/>
    </row>
    <row r="309" spans="1:14" ht="16.5" thickTop="1">
      <c r="A309" s="57"/>
      <c r="B309" s="57"/>
      <c r="C309" s="57"/>
      <c r="D309" s="57"/>
      <c r="E309" s="57"/>
      <c r="F309" s="20"/>
      <c r="G309" s="20"/>
      <c r="H309" s="20"/>
      <c r="I309" s="20"/>
      <c r="J309" s="20"/>
      <c r="K309" s="20"/>
      <c r="L309" s="20"/>
      <c r="M309" s="8"/>
      <c r="N309" s="8"/>
    </row>
    <row r="310" spans="1:14">
      <c r="A310" s="57"/>
      <c r="B310" s="57"/>
      <c r="C310" s="57"/>
      <c r="D310" s="57"/>
      <c r="E310" s="57"/>
      <c r="F310" s="20"/>
      <c r="G310" s="20"/>
      <c r="H310" s="20"/>
      <c r="I310" s="20"/>
      <c r="J310" s="20"/>
      <c r="K310" s="20"/>
      <c r="L310" s="20"/>
      <c r="M310" s="8"/>
      <c r="N310" s="8"/>
    </row>
    <row r="311" spans="1:14">
      <c r="A311" s="57">
        <v>69</v>
      </c>
      <c r="B311" s="57" t="s">
        <v>64</v>
      </c>
      <c r="C311" s="57" t="s">
        <v>12</v>
      </c>
      <c r="D311" s="25">
        <v>34250.67</v>
      </c>
      <c r="E311" s="25">
        <v>109.86</v>
      </c>
      <c r="F311" s="25">
        <v>63.31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f>SUM(D311:K312)</f>
        <v>34423.839999999997</v>
      </c>
      <c r="M311" s="8"/>
      <c r="N311" s="8"/>
    </row>
    <row r="312" spans="1:14" ht="16.5" hidden="1" thickBot="1">
      <c r="A312" s="57"/>
      <c r="B312" s="57"/>
      <c r="C312" s="57" t="s">
        <v>13</v>
      </c>
      <c r="D312" s="57"/>
      <c r="E312" s="57"/>
      <c r="F312" s="29"/>
      <c r="G312" s="29"/>
      <c r="H312" s="29"/>
      <c r="I312" s="29"/>
      <c r="J312" s="29"/>
      <c r="K312" s="29"/>
      <c r="L312" s="29">
        <v>0</v>
      </c>
      <c r="M312" s="8"/>
      <c r="N312" s="8"/>
    </row>
    <row r="313" spans="1:14">
      <c r="A313" s="57"/>
      <c r="B313" s="57"/>
      <c r="C313" s="57"/>
      <c r="D313" s="57"/>
      <c r="E313" s="57"/>
      <c r="F313" s="20"/>
      <c r="G313" s="20"/>
      <c r="H313" s="20"/>
      <c r="I313" s="20"/>
      <c r="J313" s="20"/>
      <c r="K313" s="20"/>
      <c r="L313" s="20"/>
      <c r="M313" s="8"/>
      <c r="N313" s="8"/>
    </row>
    <row r="314" spans="1:14" ht="16.5" thickBot="1">
      <c r="A314" s="57"/>
      <c r="B314" s="57"/>
      <c r="C314" s="57" t="s">
        <v>10</v>
      </c>
      <c r="D314" s="31">
        <f t="shared" ref="D314" si="82">SUM(D311:D312)</f>
        <v>34250.67</v>
      </c>
      <c r="E314" s="31">
        <f t="shared" ref="E314:K314" si="83">SUM(E311:E312)</f>
        <v>109.86</v>
      </c>
      <c r="F314" s="31">
        <f t="shared" si="83"/>
        <v>63.31</v>
      </c>
      <c r="G314" s="31">
        <f t="shared" si="83"/>
        <v>0</v>
      </c>
      <c r="H314" s="31">
        <f t="shared" si="83"/>
        <v>0</v>
      </c>
      <c r="I314" s="31">
        <f t="shared" si="83"/>
        <v>0</v>
      </c>
      <c r="J314" s="31">
        <f t="shared" si="83"/>
        <v>0</v>
      </c>
      <c r="K314" s="31">
        <f t="shared" si="83"/>
        <v>0</v>
      </c>
      <c r="L314" s="31">
        <f>SUM(L311)</f>
        <v>34423.839999999997</v>
      </c>
      <c r="M314" s="8"/>
      <c r="N314" s="8"/>
    </row>
    <row r="315" spans="1:14" ht="16.5" thickTop="1">
      <c r="A315" s="57"/>
      <c r="B315" s="57"/>
      <c r="C315" s="57"/>
      <c r="D315" s="57"/>
      <c r="E315" s="57"/>
      <c r="F315" s="20"/>
      <c r="G315" s="20"/>
      <c r="H315" s="20"/>
      <c r="I315" s="20"/>
      <c r="J315" s="20"/>
      <c r="K315" s="20"/>
      <c r="L315" s="20"/>
      <c r="M315" s="8"/>
      <c r="N315" s="8"/>
    </row>
    <row r="316" spans="1:14">
      <c r="A316" s="57"/>
      <c r="B316" s="57"/>
      <c r="C316" s="57"/>
      <c r="D316" s="57"/>
      <c r="E316" s="57"/>
      <c r="F316" s="20"/>
      <c r="G316" s="20"/>
      <c r="H316" s="20"/>
      <c r="I316" s="20"/>
      <c r="J316" s="20"/>
      <c r="K316" s="20"/>
      <c r="L316" s="20"/>
      <c r="M316" s="8"/>
      <c r="N316" s="8"/>
    </row>
    <row r="317" spans="1:14">
      <c r="A317" s="57">
        <v>70</v>
      </c>
      <c r="B317" s="57" t="s">
        <v>65</v>
      </c>
      <c r="C317" s="57" t="s">
        <v>12</v>
      </c>
      <c r="D317" s="25">
        <v>20645.25</v>
      </c>
      <c r="E317" s="25">
        <v>7.32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f>SUM(D317:K318)</f>
        <v>20652.57</v>
      </c>
      <c r="M317" s="8"/>
      <c r="N317" s="8"/>
    </row>
    <row r="318" spans="1:14" ht="16.5" hidden="1" thickBot="1">
      <c r="A318" s="57"/>
      <c r="B318" s="57"/>
      <c r="C318" s="57" t="s">
        <v>78</v>
      </c>
      <c r="D318" s="57"/>
      <c r="E318" s="57"/>
      <c r="F318" s="29"/>
      <c r="G318" s="29"/>
      <c r="H318" s="29"/>
      <c r="I318" s="29"/>
      <c r="J318" s="29"/>
      <c r="K318" s="29"/>
      <c r="L318" s="29">
        <f>SUM(F318:K318)</f>
        <v>0</v>
      </c>
      <c r="M318" s="8"/>
      <c r="N318" s="8"/>
    </row>
    <row r="319" spans="1:14">
      <c r="A319" s="57"/>
      <c r="B319" s="57"/>
      <c r="C319" s="57"/>
      <c r="D319" s="57"/>
      <c r="E319" s="57"/>
      <c r="F319" s="20"/>
      <c r="G319" s="20"/>
      <c r="H319" s="20"/>
      <c r="I319" s="20"/>
      <c r="J319" s="20"/>
      <c r="K319" s="20"/>
      <c r="L319" s="20"/>
      <c r="M319" s="8"/>
      <c r="N319" s="8"/>
    </row>
    <row r="320" spans="1:14" ht="16.5" thickBot="1">
      <c r="A320" s="57"/>
      <c r="B320" s="57"/>
      <c r="C320" s="57" t="s">
        <v>10</v>
      </c>
      <c r="D320" s="31">
        <f t="shared" ref="D320" si="84">SUM(D317:D319)</f>
        <v>20645.25</v>
      </c>
      <c r="E320" s="31">
        <f t="shared" ref="E320:K320" si="85">SUM(E317:E319)</f>
        <v>7.32</v>
      </c>
      <c r="F320" s="31">
        <f t="shared" si="85"/>
        <v>0</v>
      </c>
      <c r="G320" s="31">
        <f t="shared" si="85"/>
        <v>0</v>
      </c>
      <c r="H320" s="31">
        <f t="shared" si="85"/>
        <v>0</v>
      </c>
      <c r="I320" s="31">
        <f t="shared" si="85"/>
        <v>0</v>
      </c>
      <c r="J320" s="31">
        <f t="shared" si="85"/>
        <v>0</v>
      </c>
      <c r="K320" s="31">
        <f t="shared" si="85"/>
        <v>0</v>
      </c>
      <c r="L320" s="31">
        <f>SUM(L317)</f>
        <v>20652.57</v>
      </c>
      <c r="M320" s="8"/>
      <c r="N320" s="8"/>
    </row>
    <row r="321" spans="1:14" ht="16.5" thickTop="1">
      <c r="A321" s="57"/>
      <c r="B321" s="57"/>
      <c r="C321" s="57"/>
      <c r="D321" s="57"/>
      <c r="E321" s="57"/>
      <c r="F321" s="20"/>
      <c r="G321" s="20"/>
      <c r="H321" s="20"/>
      <c r="I321" s="20"/>
      <c r="J321" s="20"/>
      <c r="K321" s="20"/>
      <c r="L321" s="20"/>
      <c r="M321" s="8"/>
      <c r="N321" s="8"/>
    </row>
    <row r="322" spans="1:14">
      <c r="A322" s="57"/>
      <c r="B322" s="57"/>
      <c r="C322" s="57" t="s">
        <v>66</v>
      </c>
      <c r="D322" s="20">
        <f>SUM(D10:D320)/2</f>
        <v>1586400.1099999999</v>
      </c>
      <c r="E322" s="20">
        <f t="shared" ref="E322:K322" si="86">SUM(E10:E320)/2</f>
        <v>15236.129999999997</v>
      </c>
      <c r="F322" s="20">
        <f t="shared" si="86"/>
        <v>3723.1100000000015</v>
      </c>
      <c r="G322" s="20">
        <f t="shared" si="86"/>
        <v>0</v>
      </c>
      <c r="H322" s="20">
        <f t="shared" si="86"/>
        <v>0</v>
      </c>
      <c r="I322" s="20">
        <f t="shared" si="86"/>
        <v>0</v>
      </c>
      <c r="J322" s="20">
        <f t="shared" si="86"/>
        <v>0</v>
      </c>
      <c r="K322" s="20">
        <f t="shared" si="86"/>
        <v>0</v>
      </c>
      <c r="L322" s="20">
        <f>SUM(D322:K322)</f>
        <v>1605359.3499999999</v>
      </c>
      <c r="M322" s="8"/>
      <c r="N322" s="8"/>
    </row>
    <row r="323" spans="1:14">
      <c r="A323" s="57"/>
      <c r="B323" s="57"/>
      <c r="C323" s="57"/>
      <c r="D323" s="57"/>
      <c r="E323" s="57"/>
      <c r="F323" s="20"/>
      <c r="G323" s="20"/>
      <c r="H323" s="20"/>
      <c r="I323" s="20"/>
      <c r="J323" s="20"/>
      <c r="K323" s="20"/>
      <c r="L323" s="20"/>
      <c r="M323" s="8"/>
      <c r="N323" s="8"/>
    </row>
    <row r="324" spans="1:14">
      <c r="A324" s="57"/>
      <c r="B324" s="57"/>
      <c r="C324" s="57"/>
      <c r="D324" s="57"/>
      <c r="E324" s="57"/>
      <c r="F324" s="20"/>
      <c r="G324" s="20"/>
      <c r="H324" s="20"/>
      <c r="I324" s="20"/>
      <c r="J324" s="20"/>
      <c r="K324" s="20"/>
      <c r="L324" s="20"/>
      <c r="M324" s="8"/>
      <c r="N324" s="8"/>
    </row>
  </sheetData>
  <pageMargins left="0.5" right="0.5" top="2" bottom="0.25" header="0.5" footer="0.5"/>
  <pageSetup scale="70" fitToHeight="50" orientation="portrait" r:id="rId1"/>
  <headerFooter alignWithMargins="0">
    <oddHeader xml:space="preserve">&amp;L&amp;"SWISS,Bold"&amp;16&amp;G
 </oddHeader>
    <oddFooter>&amp;L&amp;"SWISS,Bold"&amp;14
Cass County Finance Office
211 9th Street South
PO Box 2806
Fargo, ND 58108-2806
701-241-5600</oddFooter>
  </headerFooter>
  <rowBreaks count="51" manualBreakCount="51">
    <brk id="7" max="65535" man="1"/>
    <brk id="14" max="16383" man="1"/>
    <brk id="20" max="16383" man="1"/>
    <brk id="26" max="16383" man="1"/>
    <brk id="31" max="16383" man="1"/>
    <brk id="36" max="16383" man="1"/>
    <brk id="42" max="16383" man="1"/>
    <brk id="49" max="65535" man="1"/>
    <brk id="55" max="16383" man="1"/>
    <brk id="64" max="16383" man="1"/>
    <brk id="70" max="16383" man="1"/>
    <brk id="76" max="16383" man="1"/>
    <brk id="84" max="16383" man="1"/>
    <brk id="90" max="16383" man="1"/>
    <brk id="98" max="16383" man="1"/>
    <brk id="104" max="16383" man="1"/>
    <brk id="111" max="16383" man="1"/>
    <brk id="116" max="16383" man="1"/>
    <brk id="124" max="16383" man="1"/>
    <brk id="128" max="9" man="1"/>
    <brk id="133" max="16383" man="1"/>
    <brk id="140" max="16383" man="1"/>
    <brk id="146" max="16383" man="1"/>
    <brk id="154" max="16383" man="1"/>
    <brk id="159" max="9" man="1"/>
    <brk id="165" max="16383" man="1"/>
    <brk id="170" max="16383" man="1"/>
    <brk id="175" max="16383" man="1"/>
    <brk id="180" max="16383" man="1"/>
    <brk id="185" max="16383" man="1"/>
    <brk id="191" max="16383" man="1"/>
    <brk id="198" max="16383" man="1"/>
    <brk id="204" max="16383" man="1"/>
    <brk id="212" max="16383" man="1"/>
    <brk id="218" max="16383" man="1"/>
    <brk id="224" max="16383" man="1"/>
    <brk id="230" max="16383" man="1"/>
    <brk id="238" max="16383" man="1"/>
    <brk id="244" max="16383" man="1"/>
    <brk id="250" max="16383" man="1"/>
    <brk id="259" max="16383" man="1"/>
    <brk id="266" max="16383" man="1"/>
    <brk id="272" max="16383" man="1"/>
    <brk id="278" max="16383" man="1"/>
    <brk id="283" max="16383" man="1"/>
    <brk id="289" max="16383" man="1"/>
    <brk id="297" max="16383" man="1"/>
    <brk id="303" max="16383" man="1"/>
    <brk id="309" max="16383" man="1"/>
    <brk id="315" max="16383" man="1"/>
    <brk id="321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27</vt:i4>
      </vt:variant>
    </vt:vector>
  </HeadingPairs>
  <TitlesOfParts>
    <vt:vector size="59" baseType="lpstr">
      <vt:lpstr>1992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 </vt:lpstr>
      <vt:lpstr>2008</vt:lpstr>
      <vt:lpstr>2009</vt:lpstr>
      <vt:lpstr>2010</vt:lpstr>
      <vt:lpstr>2011 </vt:lpstr>
      <vt:lpstr>2012 </vt:lpstr>
      <vt:lpstr>2013 </vt:lpstr>
      <vt:lpstr>2014</vt:lpstr>
      <vt:lpstr>2015</vt:lpstr>
      <vt:lpstr>2016 </vt:lpstr>
      <vt:lpstr>2017</vt:lpstr>
      <vt:lpstr>2018</vt:lpstr>
      <vt:lpstr>2019</vt:lpstr>
      <vt:lpstr>2020</vt:lpstr>
      <vt:lpstr>2021</vt:lpstr>
      <vt:lpstr>2022</vt:lpstr>
      <vt:lpstr>2023</vt:lpstr>
      <vt:lpstr>\D</vt:lpstr>
      <vt:lpstr>'1999'!Print_Area</vt:lpstr>
      <vt:lpstr>'1998'!Print_Titles</vt:lpstr>
      <vt:lpstr>'2000'!Print_Titles</vt:lpstr>
      <vt:lpstr>'2001'!Print_Titles</vt:lpstr>
      <vt:lpstr>'2002'!Print_Titles</vt:lpstr>
      <vt:lpstr>'2003'!Print_Titles</vt:lpstr>
      <vt:lpstr>'2004'!Print_Titles</vt:lpstr>
      <vt:lpstr>'2005'!Print_Titles</vt:lpstr>
      <vt:lpstr>'2006'!Print_Titles</vt:lpstr>
      <vt:lpstr>'2007 '!Print_Titles</vt:lpstr>
      <vt:lpstr>'2008'!Print_Titles</vt:lpstr>
      <vt:lpstr>'2009'!Print_Titles</vt:lpstr>
      <vt:lpstr>'2010'!Print_Titles</vt:lpstr>
      <vt:lpstr>'2011 '!Print_Titles</vt:lpstr>
      <vt:lpstr>'2012 '!Print_Titles</vt:lpstr>
      <vt:lpstr>'2013 '!Print_Titles</vt:lpstr>
      <vt:lpstr>'2014'!Print_Titles</vt:lpstr>
      <vt:lpstr>'2015'!Print_Titles</vt:lpstr>
      <vt:lpstr>'2016 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Cass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Hildebrand, Alicia</cp:lastModifiedBy>
  <cp:lastPrinted>2021-01-05T20:13:21Z</cp:lastPrinted>
  <dcterms:created xsi:type="dcterms:W3CDTF">2006-01-03T22:09:29Z</dcterms:created>
  <dcterms:modified xsi:type="dcterms:W3CDTF">2024-02-15T22:46:56Z</dcterms:modified>
</cp:coreProperties>
</file>